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CSERVER\Company\Accounting_old\Handler worksheets\2024 Handlers\2024_06\"/>
    </mc:Choice>
  </mc:AlternateContent>
  <xr:revisionPtr revIDLastSave="0" documentId="8_{D238292E-FBE3-4566-BBA8-057D0D092680}" xr6:coauthVersionLast="47" xr6:coauthVersionMax="47" xr10:uidLastSave="{00000000-0000-0000-0000-000000000000}"/>
  <bookViews>
    <workbookView xWindow="1020" yWindow="240" windowWidth="25800" windowHeight="15210" tabRatio="948" xr2:uid="{00000000-000D-0000-FFFF-FFFF00000000}"/>
  </bookViews>
  <sheets>
    <sheet name="Combined Chart with Exempt" sheetId="127" r:id="rId1"/>
    <sheet name="Domestic Chart with Exempt" sheetId="128" r:id="rId2"/>
    <sheet name="Import Chart" sheetId="129" r:id="rId3"/>
    <sheet name="Region 1 Chart with Exempt" sheetId="130" r:id="rId4"/>
    <sheet name="Region 2 Chart with Exempt" sheetId="131" r:id="rId5"/>
    <sheet name="Region 3 Chart with Exempt" sheetId="132" r:id="rId6"/>
    <sheet name="Domestic Graph with Exempt" sheetId="134" r:id="rId7"/>
    <sheet name="Import Graph" sheetId="135" r:id="rId8"/>
    <sheet name="Combined Graph with Exempt" sheetId="133" r:id="rId9"/>
    <sheet name="Total Shipments with Exempt " sheetId="136" r:id="rId10"/>
    <sheet name="Region 1 Graph with Exempt" sheetId="137" r:id="rId11"/>
    <sheet name="Region 2 Graph with Exempt" sheetId="138" r:id="rId12"/>
    <sheet name="Region 3 Graph with Exempt" sheetId="139" r:id="rId13"/>
    <sheet name="All Regions Graph with Exempt" sheetId="140" r:id="rId14"/>
  </sheets>
  <definedNames>
    <definedName name="_xlnm.Print_Area" localSheetId="13">'All Regions Graph with Exempt'!$A$1:$N$76</definedName>
    <definedName name="_xlnm.Print_Area" localSheetId="8">'Combined Graph with Exempt'!$A$1:$O$36</definedName>
    <definedName name="_xlnm.Print_Area" localSheetId="1">'Domestic Chart with Exempt'!$A$1:$AH$31</definedName>
    <definedName name="_xlnm.Print_Area" localSheetId="6">'Domestic Graph with Exempt'!$A$1:$P$36</definedName>
    <definedName name="_xlnm.Print_Area" localSheetId="2">'Import Chart'!$A:$AH</definedName>
    <definedName name="_xlnm.Print_Area" localSheetId="7">'Import Graph'!$A$1:$Q$38</definedName>
    <definedName name="_xlnm.Print_Area" localSheetId="3">'Region 1 Chart with Exempt'!$A$1:$U$29</definedName>
    <definedName name="_xlnm.Print_Area" localSheetId="10">'Region 1 Graph with Exempt'!$A$1:$P$37</definedName>
    <definedName name="_xlnm.Print_Area" localSheetId="4">'Region 2 Chart with Exempt'!$A$1:$U$29</definedName>
    <definedName name="_xlnm.Print_Area" localSheetId="11">'Region 2 Graph with Exempt'!$A$1:$P$37</definedName>
    <definedName name="_xlnm.Print_Area" localSheetId="5">'Region 3 Chart with Exempt'!$A$1:$U$28</definedName>
    <definedName name="_xlnm.Print_Area" localSheetId="12">'Region 3 Graph with Exempt'!$A$1:$P$37</definedName>
    <definedName name="_xlnm.Print_Area" localSheetId="9">'Total Shipments with Exempt '!$A$1:$P$79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32" l="1"/>
  <c r="T15" i="132"/>
  <c r="T27" i="131"/>
  <c r="T15" i="131"/>
  <c r="T27" i="130"/>
  <c r="T15" i="130"/>
  <c r="AG27" i="128"/>
  <c r="AG15" i="128"/>
  <c r="AG27" i="127"/>
  <c r="AG15" i="127"/>
  <c r="AG27" i="129" l="1"/>
  <c r="AG27" i="130"/>
  <c r="AG27" i="131"/>
  <c r="AG27" i="132"/>
  <c r="AG27" i="134"/>
  <c r="AG27" i="135"/>
  <c r="AG27" i="133"/>
  <c r="AG27" i="136"/>
  <c r="AG27" i="137"/>
  <c r="AG27" i="138"/>
  <c r="AG27" i="139"/>
  <c r="AG27" i="140"/>
  <c r="AG15" i="129"/>
  <c r="AG13" i="129"/>
  <c r="AG11" i="129"/>
  <c r="AG9" i="129" l="1"/>
  <c r="G97" i="140" l="1"/>
  <c r="G96" i="140"/>
  <c r="G60" i="139"/>
  <c r="G59" i="139"/>
  <c r="G59" i="138"/>
  <c r="G58" i="138"/>
  <c r="G59" i="137"/>
  <c r="D112" i="136"/>
  <c r="D111" i="136"/>
  <c r="D69" i="133"/>
  <c r="D68" i="133"/>
  <c r="D70" i="135"/>
  <c r="D69" i="135"/>
  <c r="D70" i="134"/>
  <c r="T5" i="132"/>
  <c r="T7" i="132" s="1"/>
  <c r="T9" i="132" s="1"/>
  <c r="T11" i="132" s="1"/>
  <c r="T13" i="132" s="1"/>
  <c r="T5" i="131"/>
  <c r="T7" i="131" s="1"/>
  <c r="T9" i="131" s="1"/>
  <c r="T11" i="131" s="1"/>
  <c r="T13" i="131" s="1"/>
  <c r="T5" i="130"/>
  <c r="T7" i="130" s="1"/>
  <c r="T9" i="130" s="1"/>
  <c r="T11" i="130" s="1"/>
  <c r="T13" i="130" s="1"/>
  <c r="AG5" i="128"/>
  <c r="AG7" i="128" s="1"/>
  <c r="AG9" i="128" s="1"/>
  <c r="AG11" i="128" s="1"/>
  <c r="AG13" i="128" s="1"/>
  <c r="AG5" i="127"/>
  <c r="AG7" i="127" s="1"/>
  <c r="AG9" i="127" s="1"/>
  <c r="AG11" i="127" s="1"/>
  <c r="AG13" i="127" s="1"/>
  <c r="U26" i="132"/>
  <c r="U24" i="132"/>
  <c r="U22" i="132"/>
  <c r="U20" i="132"/>
  <c r="U18" i="132"/>
  <c r="U16" i="132"/>
  <c r="U14" i="132"/>
  <c r="U12" i="132"/>
  <c r="U10" i="132"/>
  <c r="U8" i="132"/>
  <c r="U6" i="132"/>
  <c r="U4" i="132"/>
  <c r="U26" i="131"/>
  <c r="U24" i="131"/>
  <c r="U22" i="131"/>
  <c r="U20" i="131"/>
  <c r="U18" i="131"/>
  <c r="U16" i="131"/>
  <c r="U14" i="131"/>
  <c r="U12" i="131"/>
  <c r="U10" i="131"/>
  <c r="U8" i="131"/>
  <c r="U6" i="131"/>
  <c r="U4" i="131"/>
  <c r="U26" i="130"/>
  <c r="U24" i="130"/>
  <c r="U22" i="130"/>
  <c r="U20" i="130"/>
  <c r="U18" i="130"/>
  <c r="U16" i="130"/>
  <c r="U14" i="130"/>
  <c r="U12" i="130"/>
  <c r="U10" i="130"/>
  <c r="U8" i="130"/>
  <c r="U6" i="130"/>
  <c r="U4" i="130"/>
  <c r="AG7" i="129" l="1"/>
  <c r="AG5" i="129" l="1"/>
  <c r="AH26" i="127"/>
  <c r="AH24" i="127"/>
  <c r="AH22" i="127"/>
  <c r="AH20" i="127"/>
  <c r="AH18" i="127"/>
  <c r="AH16" i="127"/>
  <c r="AH14" i="127"/>
  <c r="AH12" i="127"/>
  <c r="AH10" i="127"/>
  <c r="AH8" i="127"/>
  <c r="AH6" i="127"/>
  <c r="AH4" i="127"/>
  <c r="AH26" i="128"/>
  <c r="AH24" i="128"/>
  <c r="AH22" i="128"/>
  <c r="AH20" i="128"/>
  <c r="AH18" i="128"/>
  <c r="AH16" i="128"/>
  <c r="AH14" i="128"/>
  <c r="AH12" i="128"/>
  <c r="AH10" i="128"/>
  <c r="AH8" i="128"/>
  <c r="AH6" i="128"/>
  <c r="AH4" i="128"/>
  <c r="AH26" i="129"/>
  <c r="AH25" i="129"/>
  <c r="AH24" i="129"/>
  <c r="AH23" i="129"/>
  <c r="AH22" i="129"/>
  <c r="AH21" i="129"/>
  <c r="AH20" i="129"/>
  <c r="AH19" i="129"/>
  <c r="AH18" i="129"/>
  <c r="AH17" i="129"/>
  <c r="AH16" i="129"/>
  <c r="AH15" i="129"/>
  <c r="AH14" i="129"/>
  <c r="AH13" i="129"/>
  <c r="AH12" i="129"/>
  <c r="AH11" i="129"/>
  <c r="AH10" i="129"/>
  <c r="AH9" i="129"/>
  <c r="AH8" i="129"/>
  <c r="AH7" i="129"/>
  <c r="AH6" i="129"/>
  <c r="AH5" i="129"/>
  <c r="AH4" i="129"/>
  <c r="S27" i="132" l="1"/>
  <c r="S27" i="131"/>
  <c r="S27" i="130"/>
  <c r="AF27" i="127" l="1"/>
  <c r="AF27" i="128"/>
  <c r="AF27" i="129"/>
  <c r="AG28" i="129" l="1"/>
  <c r="G58" i="137" l="1"/>
  <c r="D69" i="134"/>
  <c r="S5" i="132"/>
  <c r="S5" i="131"/>
  <c r="U5" i="131" s="1"/>
  <c r="S5" i="130"/>
  <c r="AF5" i="128"/>
  <c r="S7" i="132" l="1"/>
  <c r="U5" i="132"/>
  <c r="S7" i="130"/>
  <c r="U5" i="130"/>
  <c r="S7" i="131"/>
  <c r="U7" i="131" s="1"/>
  <c r="AH5" i="128"/>
  <c r="AF7" i="128"/>
  <c r="AF5" i="127"/>
  <c r="S9" i="132" l="1"/>
  <c r="U7" i="132"/>
  <c r="S9" i="130"/>
  <c r="U7" i="130"/>
  <c r="S9" i="131"/>
  <c r="U9" i="131" s="1"/>
  <c r="AF7" i="127"/>
  <c r="AH5" i="127"/>
  <c r="AF9" i="128"/>
  <c r="AH7" i="128"/>
  <c r="S11" i="132" l="1"/>
  <c r="U9" i="132"/>
  <c r="S11" i="130"/>
  <c r="U9" i="130"/>
  <c r="S11" i="131"/>
  <c r="U11" i="131" s="1"/>
  <c r="AF9" i="127"/>
  <c r="AH7" i="127"/>
  <c r="AF11" i="128"/>
  <c r="AH9" i="128"/>
  <c r="S13" i="132" l="1"/>
  <c r="U11" i="132"/>
  <c r="S13" i="130"/>
  <c r="U11" i="130"/>
  <c r="S13" i="131"/>
  <c r="U13" i="131" s="1"/>
  <c r="T28" i="131" s="1"/>
  <c r="AH9" i="127"/>
  <c r="AF11" i="127"/>
  <c r="AH11" i="127" s="1"/>
  <c r="AF13" i="128"/>
  <c r="AH11" i="128"/>
  <c r="R27" i="132"/>
  <c r="R27" i="131"/>
  <c r="R27" i="130"/>
  <c r="AE27" i="128"/>
  <c r="AE27" i="127"/>
  <c r="S15" i="132" l="1"/>
  <c r="U13" i="132"/>
  <c r="T28" i="132" s="1"/>
  <c r="S15" i="130"/>
  <c r="U13" i="130"/>
  <c r="T28" i="130" s="1"/>
  <c r="S15" i="131"/>
  <c r="U15" i="131" s="1"/>
  <c r="AF13" i="127"/>
  <c r="AF15" i="128"/>
  <c r="AH13" i="128"/>
  <c r="AF5" i="129"/>
  <c r="AF7" i="129" s="1"/>
  <c r="AF9" i="129" s="1"/>
  <c r="AF11" i="129" s="1"/>
  <c r="AF13" i="129" s="1"/>
  <c r="AF15" i="129" s="1"/>
  <c r="AF17" i="129" s="1"/>
  <c r="AF19" i="129" s="1"/>
  <c r="AF21" i="129" s="1"/>
  <c r="AF23" i="129" s="1"/>
  <c r="AF25" i="129" s="1"/>
  <c r="S17" i="132" l="1"/>
  <c r="U15" i="132"/>
  <c r="S17" i="130"/>
  <c r="U15" i="130"/>
  <c r="S17" i="131"/>
  <c r="U17" i="131" s="1"/>
  <c r="AF15" i="127"/>
  <c r="AH13" i="127"/>
  <c r="AF17" i="128"/>
  <c r="AH15" i="128"/>
  <c r="S19" i="132" l="1"/>
  <c r="U17" i="132"/>
  <c r="S19" i="130"/>
  <c r="U17" i="130"/>
  <c r="S19" i="131"/>
  <c r="U19" i="131" s="1"/>
  <c r="AF17" i="127"/>
  <c r="AH15" i="127"/>
  <c r="AF19" i="128"/>
  <c r="AH17" i="128"/>
  <c r="S21" i="132" l="1"/>
  <c r="U19" i="132"/>
  <c r="S21" i="130"/>
  <c r="U19" i="130"/>
  <c r="S21" i="131"/>
  <c r="U21" i="131" s="1"/>
  <c r="AF19" i="127"/>
  <c r="AH17" i="127"/>
  <c r="AF21" i="128"/>
  <c r="AH19" i="128"/>
  <c r="S23" i="132" l="1"/>
  <c r="U21" i="132"/>
  <c r="S23" i="130"/>
  <c r="U21" i="130"/>
  <c r="S23" i="131"/>
  <c r="U23" i="131" s="1"/>
  <c r="AF21" i="127"/>
  <c r="AH19" i="127"/>
  <c r="AF23" i="128"/>
  <c r="AH21" i="128"/>
  <c r="S25" i="132" l="1"/>
  <c r="U25" i="132" s="1"/>
  <c r="U23" i="132"/>
  <c r="S25" i="130"/>
  <c r="U25" i="130" s="1"/>
  <c r="U23" i="130"/>
  <c r="S25" i="131"/>
  <c r="U25" i="131" s="1"/>
  <c r="AF23" i="127"/>
  <c r="AH21" i="127"/>
  <c r="AF25" i="128"/>
  <c r="AH23" i="128"/>
  <c r="AE27" i="129"/>
  <c r="AF28" i="129" s="1"/>
  <c r="AF25" i="127" l="1"/>
  <c r="AH25" i="127" s="1"/>
  <c r="AG28" i="127" s="1"/>
  <c r="AH23" i="127"/>
  <c r="AH25" i="128"/>
  <c r="AG28" i="128" s="1"/>
  <c r="G95" i="140" l="1"/>
  <c r="G58" i="139"/>
  <c r="G57" i="138"/>
  <c r="G57" i="137"/>
  <c r="D110" i="136"/>
  <c r="D68" i="135"/>
  <c r="D68" i="134"/>
  <c r="D67" i="133"/>
  <c r="R5" i="132" l="1"/>
  <c r="R5" i="131"/>
  <c r="R5" i="130"/>
  <c r="AE5" i="128"/>
  <c r="AE5" i="127"/>
  <c r="R7" i="130" l="1"/>
  <c r="R7" i="132"/>
  <c r="R7" i="131"/>
  <c r="AE7" i="127"/>
  <c r="AE7" i="128"/>
  <c r="AE5" i="129"/>
  <c r="R9" i="130" l="1"/>
  <c r="AE7" i="129"/>
  <c r="R9" i="132"/>
  <c r="R9" i="131"/>
  <c r="AE9" i="127"/>
  <c r="AE9" i="128"/>
  <c r="R11" i="130" l="1"/>
  <c r="AE9" i="129"/>
  <c r="R11" i="132"/>
  <c r="R11" i="131"/>
  <c r="AE11" i="127"/>
  <c r="AE11" i="128"/>
  <c r="R13" i="130" l="1"/>
  <c r="AE11" i="129"/>
  <c r="R13" i="132"/>
  <c r="R13" i="131"/>
  <c r="AE13" i="127"/>
  <c r="AE13" i="128"/>
  <c r="Q27" i="132"/>
  <c r="Q27" i="131"/>
  <c r="Q27" i="130"/>
  <c r="AD27" i="128"/>
  <c r="AD27" i="127"/>
  <c r="G94" i="140"/>
  <c r="G93" i="140"/>
  <c r="G92" i="140"/>
  <c r="G91" i="140"/>
  <c r="G90" i="140"/>
  <c r="G89" i="140"/>
  <c r="G88" i="140"/>
  <c r="G87" i="140"/>
  <c r="G86" i="140"/>
  <c r="G85" i="140"/>
  <c r="G84" i="140"/>
  <c r="G83" i="140"/>
  <c r="G82" i="140"/>
  <c r="G81" i="140"/>
  <c r="G80" i="140"/>
  <c r="G79" i="140"/>
  <c r="G57" i="139"/>
  <c r="G56" i="139"/>
  <c r="G55" i="139"/>
  <c r="G54" i="139"/>
  <c r="G53" i="139"/>
  <c r="G52" i="139"/>
  <c r="G51" i="139"/>
  <c r="G50" i="139"/>
  <c r="G49" i="139"/>
  <c r="G48" i="139"/>
  <c r="G47" i="139"/>
  <c r="G46" i="139"/>
  <c r="G45" i="139"/>
  <c r="G44" i="139"/>
  <c r="G43" i="139"/>
  <c r="G42" i="139"/>
  <c r="G56" i="138"/>
  <c r="G55" i="138"/>
  <c r="G54" i="138"/>
  <c r="G53" i="138"/>
  <c r="G52" i="138"/>
  <c r="G51" i="138"/>
  <c r="G50" i="138"/>
  <c r="G49" i="138"/>
  <c r="G48" i="138"/>
  <c r="G47" i="138"/>
  <c r="G46" i="138"/>
  <c r="G45" i="138"/>
  <c r="G44" i="138"/>
  <c r="G43" i="138"/>
  <c r="G42" i="138"/>
  <c r="G41" i="138"/>
  <c r="G56" i="137"/>
  <c r="G55" i="137"/>
  <c r="G54" i="137"/>
  <c r="G53" i="137"/>
  <c r="G52" i="137"/>
  <c r="G51" i="137"/>
  <c r="G50" i="137"/>
  <c r="G49" i="137"/>
  <c r="G48" i="137"/>
  <c r="G47" i="137"/>
  <c r="G46" i="137"/>
  <c r="G45" i="137"/>
  <c r="G44" i="137"/>
  <c r="G43" i="137"/>
  <c r="G42" i="137"/>
  <c r="G41" i="137"/>
  <c r="D109" i="136"/>
  <c r="D108" i="136"/>
  <c r="D107" i="136"/>
  <c r="D106" i="136"/>
  <c r="D105" i="136"/>
  <c r="D104" i="136"/>
  <c r="D103" i="136"/>
  <c r="D102" i="136"/>
  <c r="D101" i="136"/>
  <c r="D100" i="136"/>
  <c r="D99" i="136"/>
  <c r="D98" i="136"/>
  <c r="D97" i="136"/>
  <c r="D96" i="136"/>
  <c r="D95" i="136"/>
  <c r="D94" i="136"/>
  <c r="D93" i="136"/>
  <c r="D92" i="136"/>
  <c r="D91" i="136"/>
  <c r="D90" i="136"/>
  <c r="D89" i="136"/>
  <c r="D88" i="136"/>
  <c r="D87" i="136"/>
  <c r="D86" i="136"/>
  <c r="D85" i="136"/>
  <c r="D84" i="136"/>
  <c r="D83" i="136"/>
  <c r="D82" i="136"/>
  <c r="D67" i="135"/>
  <c r="D66" i="135"/>
  <c r="D65" i="135"/>
  <c r="D64" i="135"/>
  <c r="D63" i="135"/>
  <c r="D62" i="135"/>
  <c r="D61" i="135"/>
  <c r="D60" i="135"/>
  <c r="D59" i="135"/>
  <c r="D58" i="135"/>
  <c r="D57" i="135"/>
  <c r="D56" i="135"/>
  <c r="D55" i="135"/>
  <c r="D54" i="135"/>
  <c r="D53" i="135"/>
  <c r="D52" i="135"/>
  <c r="D51" i="135"/>
  <c r="D50" i="135"/>
  <c r="D49" i="135"/>
  <c r="D48" i="135"/>
  <c r="D47" i="135"/>
  <c r="D46" i="135"/>
  <c r="D45" i="135"/>
  <c r="D44" i="135"/>
  <c r="D43" i="135"/>
  <c r="D42" i="135"/>
  <c r="D41" i="135"/>
  <c r="D40" i="135"/>
  <c r="D67" i="134"/>
  <c r="D66" i="134"/>
  <c r="D65" i="134"/>
  <c r="D64" i="134"/>
  <c r="D63" i="134"/>
  <c r="D62" i="134"/>
  <c r="D61" i="134"/>
  <c r="D60" i="134"/>
  <c r="D59" i="134"/>
  <c r="D58" i="134"/>
  <c r="D57" i="134"/>
  <c r="D56" i="134"/>
  <c r="D55" i="134"/>
  <c r="D54" i="134"/>
  <c r="D53" i="134"/>
  <c r="D52" i="134"/>
  <c r="D51" i="134"/>
  <c r="D50" i="134"/>
  <c r="D49" i="134"/>
  <c r="D48" i="134"/>
  <c r="D47" i="134"/>
  <c r="D46" i="134"/>
  <c r="D45" i="134"/>
  <c r="D44" i="134"/>
  <c r="D43" i="134"/>
  <c r="D42" i="134"/>
  <c r="D41" i="134"/>
  <c r="D40" i="134"/>
  <c r="D66" i="133"/>
  <c r="D65" i="133"/>
  <c r="D64" i="133"/>
  <c r="D63" i="133"/>
  <c r="D62" i="133"/>
  <c r="D61" i="133"/>
  <c r="D60" i="133"/>
  <c r="D59" i="133"/>
  <c r="D58" i="133"/>
  <c r="D57" i="133"/>
  <c r="D56" i="133"/>
  <c r="D55" i="133"/>
  <c r="D54" i="133"/>
  <c r="D53" i="133"/>
  <c r="D52" i="133"/>
  <c r="D51" i="133"/>
  <c r="D50" i="133"/>
  <c r="D49" i="133"/>
  <c r="D48" i="133"/>
  <c r="D47" i="133"/>
  <c r="D46" i="133"/>
  <c r="D45" i="133"/>
  <c r="D44" i="133"/>
  <c r="D43" i="133"/>
  <c r="D42" i="133"/>
  <c r="D41" i="133"/>
  <c r="D40" i="133"/>
  <c r="D39" i="133"/>
  <c r="P27" i="132"/>
  <c r="O27" i="132"/>
  <c r="N27" i="132"/>
  <c r="M27" i="132"/>
  <c r="L27" i="132"/>
  <c r="K27" i="132"/>
  <c r="J27" i="132"/>
  <c r="I27" i="132"/>
  <c r="H27" i="132"/>
  <c r="G27" i="132"/>
  <c r="F27" i="132"/>
  <c r="G28" i="132" s="1"/>
  <c r="E27" i="132"/>
  <c r="D27" i="132"/>
  <c r="C27" i="132"/>
  <c r="B27" i="132"/>
  <c r="Q5" i="132"/>
  <c r="Q7" i="132" s="1"/>
  <c r="P5" i="132"/>
  <c r="P7" i="132" s="1"/>
  <c r="P9" i="132" s="1"/>
  <c r="P11" i="132" s="1"/>
  <c r="P13" i="132" s="1"/>
  <c r="P15" i="132" s="1"/>
  <c r="P17" i="132" s="1"/>
  <c r="P19" i="132" s="1"/>
  <c r="P21" i="132" s="1"/>
  <c r="P23" i="132" s="1"/>
  <c r="P25" i="132" s="1"/>
  <c r="O5" i="132"/>
  <c r="O7" i="132" s="1"/>
  <c r="O9" i="132" s="1"/>
  <c r="O11" i="132" s="1"/>
  <c r="O13" i="132" s="1"/>
  <c r="O15" i="132" s="1"/>
  <c r="O17" i="132" s="1"/>
  <c r="O19" i="132" s="1"/>
  <c r="O21" i="132" s="1"/>
  <c r="O23" i="132" s="1"/>
  <c r="O25" i="132" s="1"/>
  <c r="N5" i="132"/>
  <c r="N7" i="132" s="1"/>
  <c r="N9" i="132" s="1"/>
  <c r="N11" i="132" s="1"/>
  <c r="N13" i="132" s="1"/>
  <c r="N15" i="132" s="1"/>
  <c r="N17" i="132" s="1"/>
  <c r="N19" i="132" s="1"/>
  <c r="N21" i="132" s="1"/>
  <c r="N23" i="132" s="1"/>
  <c r="N25" i="132" s="1"/>
  <c r="M5" i="132"/>
  <c r="M7" i="132" s="1"/>
  <c r="M9" i="132" s="1"/>
  <c r="M11" i="132" s="1"/>
  <c r="M13" i="132" s="1"/>
  <c r="M15" i="132" s="1"/>
  <c r="M17" i="132" s="1"/>
  <c r="M19" i="132" s="1"/>
  <c r="M21" i="132" s="1"/>
  <c r="M23" i="132" s="1"/>
  <c r="M25" i="132" s="1"/>
  <c r="L5" i="132"/>
  <c r="L7" i="132" s="1"/>
  <c r="L9" i="132" s="1"/>
  <c r="L11" i="132" s="1"/>
  <c r="L13" i="132" s="1"/>
  <c r="L15" i="132" s="1"/>
  <c r="L17" i="132" s="1"/>
  <c r="L19" i="132" s="1"/>
  <c r="L21" i="132" s="1"/>
  <c r="L23" i="132" s="1"/>
  <c r="L25" i="132" s="1"/>
  <c r="K5" i="132"/>
  <c r="K7" i="132" s="1"/>
  <c r="K9" i="132" s="1"/>
  <c r="K11" i="132" s="1"/>
  <c r="K13" i="132" s="1"/>
  <c r="K15" i="132" s="1"/>
  <c r="K17" i="132" s="1"/>
  <c r="K19" i="132" s="1"/>
  <c r="K21" i="132" s="1"/>
  <c r="K23" i="132" s="1"/>
  <c r="K25" i="132" s="1"/>
  <c r="J5" i="132"/>
  <c r="J7" i="132" s="1"/>
  <c r="J9" i="132" s="1"/>
  <c r="J11" i="132" s="1"/>
  <c r="J13" i="132" s="1"/>
  <c r="J15" i="132" s="1"/>
  <c r="J17" i="132" s="1"/>
  <c r="J19" i="132" s="1"/>
  <c r="J21" i="132" s="1"/>
  <c r="J23" i="132" s="1"/>
  <c r="J25" i="132" s="1"/>
  <c r="I5" i="132"/>
  <c r="I7" i="132" s="1"/>
  <c r="I9" i="132" s="1"/>
  <c r="I11" i="132" s="1"/>
  <c r="I13" i="132" s="1"/>
  <c r="I15" i="132" s="1"/>
  <c r="I17" i="132" s="1"/>
  <c r="I19" i="132" s="1"/>
  <c r="I21" i="132" s="1"/>
  <c r="I23" i="132" s="1"/>
  <c r="I25" i="132" s="1"/>
  <c r="H5" i="132"/>
  <c r="H7" i="132" s="1"/>
  <c r="H9" i="132" s="1"/>
  <c r="H11" i="132" s="1"/>
  <c r="H13" i="132" s="1"/>
  <c r="H15" i="132" s="1"/>
  <c r="H17" i="132" s="1"/>
  <c r="H19" i="132" s="1"/>
  <c r="H21" i="132" s="1"/>
  <c r="H23" i="132" s="1"/>
  <c r="H25" i="132" s="1"/>
  <c r="G5" i="132"/>
  <c r="G7" i="132" s="1"/>
  <c r="G9" i="132" s="1"/>
  <c r="G11" i="132" s="1"/>
  <c r="G13" i="132" s="1"/>
  <c r="G15" i="132" s="1"/>
  <c r="G17" i="132" s="1"/>
  <c r="G19" i="132" s="1"/>
  <c r="G21" i="132" s="1"/>
  <c r="G23" i="132" s="1"/>
  <c r="G25" i="132" s="1"/>
  <c r="F5" i="132"/>
  <c r="F7" i="132" s="1"/>
  <c r="F9" i="132" s="1"/>
  <c r="F11" i="132" s="1"/>
  <c r="F13" i="132" s="1"/>
  <c r="F15" i="132" s="1"/>
  <c r="F17" i="132" s="1"/>
  <c r="F19" i="132" s="1"/>
  <c r="F21" i="132" s="1"/>
  <c r="F23" i="132" s="1"/>
  <c r="F25" i="132" s="1"/>
  <c r="E5" i="132"/>
  <c r="E7" i="132" s="1"/>
  <c r="E9" i="132" s="1"/>
  <c r="E11" i="132" s="1"/>
  <c r="E13" i="132" s="1"/>
  <c r="E15" i="132" s="1"/>
  <c r="E17" i="132" s="1"/>
  <c r="E19" i="132" s="1"/>
  <c r="E21" i="132" s="1"/>
  <c r="E23" i="132" s="1"/>
  <c r="E25" i="132" s="1"/>
  <c r="D5" i="132"/>
  <c r="D7" i="132" s="1"/>
  <c r="D9" i="132" s="1"/>
  <c r="D11" i="132" s="1"/>
  <c r="D13" i="132" s="1"/>
  <c r="D15" i="132" s="1"/>
  <c r="D17" i="132" s="1"/>
  <c r="D19" i="132" s="1"/>
  <c r="D21" i="132" s="1"/>
  <c r="D23" i="132" s="1"/>
  <c r="D25" i="132" s="1"/>
  <c r="C5" i="132"/>
  <c r="C7" i="132" s="1"/>
  <c r="C9" i="132" s="1"/>
  <c r="C11" i="132" s="1"/>
  <c r="C13" i="132" s="1"/>
  <c r="C15" i="132" s="1"/>
  <c r="C17" i="132" s="1"/>
  <c r="C19" i="132" s="1"/>
  <c r="C21" i="132" s="1"/>
  <c r="C23" i="132" s="1"/>
  <c r="C25" i="132" s="1"/>
  <c r="B5" i="132"/>
  <c r="B7" i="132" s="1"/>
  <c r="B9" i="132" s="1"/>
  <c r="B11" i="132" s="1"/>
  <c r="B13" i="132" s="1"/>
  <c r="B15" i="132" s="1"/>
  <c r="B17" i="132" s="1"/>
  <c r="B19" i="132" s="1"/>
  <c r="B21" i="132" s="1"/>
  <c r="B23" i="132" s="1"/>
  <c r="B25" i="132" s="1"/>
  <c r="P27" i="131"/>
  <c r="O27" i="131"/>
  <c r="N27" i="131"/>
  <c r="M27" i="131"/>
  <c r="L27" i="131"/>
  <c r="L28" i="131" s="1"/>
  <c r="K27" i="131"/>
  <c r="J27" i="131"/>
  <c r="I27" i="131"/>
  <c r="H7" i="131"/>
  <c r="H9" i="131" s="1"/>
  <c r="H11" i="131" s="1"/>
  <c r="H13" i="131" s="1"/>
  <c r="H15" i="131" s="1"/>
  <c r="H17" i="131" s="1"/>
  <c r="H19" i="131" s="1"/>
  <c r="H21" i="131" s="1"/>
  <c r="H23" i="131" s="1"/>
  <c r="H25" i="131" s="1"/>
  <c r="H27" i="131" s="1"/>
  <c r="G7" i="131"/>
  <c r="G9" i="131" s="1"/>
  <c r="G11" i="131" s="1"/>
  <c r="G13" i="131" s="1"/>
  <c r="G15" i="131" s="1"/>
  <c r="G17" i="131" s="1"/>
  <c r="G19" i="131" s="1"/>
  <c r="G21" i="131" s="1"/>
  <c r="G23" i="131" s="1"/>
  <c r="G25" i="131" s="1"/>
  <c r="G27" i="131" s="1"/>
  <c r="Q5" i="131"/>
  <c r="P5" i="131"/>
  <c r="P7" i="131" s="1"/>
  <c r="P9" i="131" s="1"/>
  <c r="P11" i="131" s="1"/>
  <c r="P13" i="131" s="1"/>
  <c r="P15" i="131" s="1"/>
  <c r="P17" i="131" s="1"/>
  <c r="P19" i="131" s="1"/>
  <c r="P21" i="131" s="1"/>
  <c r="P23" i="131" s="1"/>
  <c r="P25" i="131" s="1"/>
  <c r="O5" i="131"/>
  <c r="O7" i="131" s="1"/>
  <c r="O9" i="131" s="1"/>
  <c r="O11" i="131" s="1"/>
  <c r="O13" i="131" s="1"/>
  <c r="O15" i="131" s="1"/>
  <c r="O17" i="131" s="1"/>
  <c r="O19" i="131" s="1"/>
  <c r="O21" i="131" s="1"/>
  <c r="O23" i="131" s="1"/>
  <c r="O25" i="131" s="1"/>
  <c r="N5" i="131"/>
  <c r="N7" i="131" s="1"/>
  <c r="N9" i="131" s="1"/>
  <c r="N11" i="131" s="1"/>
  <c r="N13" i="131" s="1"/>
  <c r="N15" i="131" s="1"/>
  <c r="N17" i="131" s="1"/>
  <c r="N19" i="131" s="1"/>
  <c r="N21" i="131" s="1"/>
  <c r="N23" i="131" s="1"/>
  <c r="N25" i="131" s="1"/>
  <c r="M5" i="131"/>
  <c r="M7" i="131" s="1"/>
  <c r="M9" i="131" s="1"/>
  <c r="M11" i="131" s="1"/>
  <c r="M13" i="131" s="1"/>
  <c r="M15" i="131" s="1"/>
  <c r="M17" i="131" s="1"/>
  <c r="M19" i="131" s="1"/>
  <c r="M21" i="131" s="1"/>
  <c r="M23" i="131" s="1"/>
  <c r="M25" i="131" s="1"/>
  <c r="L5" i="131"/>
  <c r="L7" i="131" s="1"/>
  <c r="L9" i="131" s="1"/>
  <c r="L11" i="131" s="1"/>
  <c r="L13" i="131" s="1"/>
  <c r="L15" i="131" s="1"/>
  <c r="L17" i="131" s="1"/>
  <c r="L19" i="131" s="1"/>
  <c r="L21" i="131" s="1"/>
  <c r="L23" i="131" s="1"/>
  <c r="L25" i="131" s="1"/>
  <c r="K5" i="131"/>
  <c r="K7" i="131" s="1"/>
  <c r="K9" i="131" s="1"/>
  <c r="K11" i="131" s="1"/>
  <c r="K13" i="131" s="1"/>
  <c r="K15" i="131" s="1"/>
  <c r="K17" i="131" s="1"/>
  <c r="K19" i="131" s="1"/>
  <c r="K21" i="131" s="1"/>
  <c r="K23" i="131" s="1"/>
  <c r="K25" i="131" s="1"/>
  <c r="J5" i="131"/>
  <c r="J7" i="131" s="1"/>
  <c r="J9" i="131" s="1"/>
  <c r="J11" i="131" s="1"/>
  <c r="J13" i="131" s="1"/>
  <c r="J15" i="131" s="1"/>
  <c r="J17" i="131" s="1"/>
  <c r="J19" i="131" s="1"/>
  <c r="J21" i="131" s="1"/>
  <c r="J23" i="131" s="1"/>
  <c r="J25" i="131" s="1"/>
  <c r="I5" i="131"/>
  <c r="I7" i="131" s="1"/>
  <c r="I9" i="131" s="1"/>
  <c r="I11" i="131" s="1"/>
  <c r="I13" i="131" s="1"/>
  <c r="I15" i="131" s="1"/>
  <c r="I17" i="131" s="1"/>
  <c r="I19" i="131" s="1"/>
  <c r="I21" i="131" s="1"/>
  <c r="I23" i="131" s="1"/>
  <c r="I25" i="131" s="1"/>
  <c r="H5" i="131"/>
  <c r="G5" i="131"/>
  <c r="F5" i="131"/>
  <c r="F7" i="131" s="1"/>
  <c r="F9" i="131" s="1"/>
  <c r="F11" i="131" s="1"/>
  <c r="F13" i="131" s="1"/>
  <c r="F15" i="131" s="1"/>
  <c r="F17" i="131" s="1"/>
  <c r="F19" i="131" s="1"/>
  <c r="F21" i="131" s="1"/>
  <c r="F23" i="131" s="1"/>
  <c r="F25" i="131" s="1"/>
  <c r="F27" i="131" s="1"/>
  <c r="F28" i="131" s="1"/>
  <c r="E5" i="131"/>
  <c r="E7" i="131" s="1"/>
  <c r="E9" i="131" s="1"/>
  <c r="E11" i="131" s="1"/>
  <c r="E13" i="131" s="1"/>
  <c r="E15" i="131" s="1"/>
  <c r="E17" i="131" s="1"/>
  <c r="E19" i="131" s="1"/>
  <c r="E21" i="131" s="1"/>
  <c r="E23" i="131" s="1"/>
  <c r="E25" i="131" s="1"/>
  <c r="E27" i="131" s="1"/>
  <c r="D5" i="131"/>
  <c r="D7" i="131" s="1"/>
  <c r="D9" i="131" s="1"/>
  <c r="D11" i="131" s="1"/>
  <c r="D13" i="131" s="1"/>
  <c r="D15" i="131" s="1"/>
  <c r="D17" i="131" s="1"/>
  <c r="D19" i="131" s="1"/>
  <c r="D21" i="131" s="1"/>
  <c r="D23" i="131" s="1"/>
  <c r="D25" i="131" s="1"/>
  <c r="D27" i="131" s="1"/>
  <c r="C5" i="131"/>
  <c r="C7" i="131" s="1"/>
  <c r="C9" i="131" s="1"/>
  <c r="C11" i="131" s="1"/>
  <c r="C13" i="131" s="1"/>
  <c r="C15" i="131" s="1"/>
  <c r="C17" i="131" s="1"/>
  <c r="C19" i="131" s="1"/>
  <c r="C21" i="131" s="1"/>
  <c r="C23" i="131" s="1"/>
  <c r="C25" i="131" s="1"/>
  <c r="C27" i="131" s="1"/>
  <c r="B5" i="131"/>
  <c r="B7" i="131" s="1"/>
  <c r="B9" i="131" s="1"/>
  <c r="B11" i="131" s="1"/>
  <c r="B13" i="131" s="1"/>
  <c r="B15" i="131" s="1"/>
  <c r="B17" i="131" s="1"/>
  <c r="B19" i="131" s="1"/>
  <c r="B21" i="131" s="1"/>
  <c r="B23" i="131" s="1"/>
  <c r="B25" i="131" s="1"/>
  <c r="B27" i="131" s="1"/>
  <c r="P27" i="130"/>
  <c r="O27" i="130"/>
  <c r="N27" i="130"/>
  <c r="M27" i="130"/>
  <c r="M28" i="130" s="1"/>
  <c r="L27" i="130"/>
  <c r="K27" i="130"/>
  <c r="J27" i="130"/>
  <c r="K28" i="130" s="1"/>
  <c r="I27" i="130"/>
  <c r="I28" i="130" s="1"/>
  <c r="H27" i="130"/>
  <c r="Q5" i="130"/>
  <c r="P5" i="130"/>
  <c r="P7" i="130" s="1"/>
  <c r="P9" i="130" s="1"/>
  <c r="P11" i="130" s="1"/>
  <c r="P13" i="130" s="1"/>
  <c r="P15" i="130" s="1"/>
  <c r="P17" i="130" s="1"/>
  <c r="P19" i="130" s="1"/>
  <c r="P21" i="130" s="1"/>
  <c r="P23" i="130" s="1"/>
  <c r="P25" i="130" s="1"/>
  <c r="O5" i="130"/>
  <c r="O7" i="130" s="1"/>
  <c r="O9" i="130" s="1"/>
  <c r="O11" i="130" s="1"/>
  <c r="O13" i="130" s="1"/>
  <c r="O15" i="130" s="1"/>
  <c r="O17" i="130" s="1"/>
  <c r="O19" i="130" s="1"/>
  <c r="O21" i="130" s="1"/>
  <c r="O23" i="130" s="1"/>
  <c r="O25" i="130" s="1"/>
  <c r="N5" i="130"/>
  <c r="N7" i="130" s="1"/>
  <c r="N9" i="130" s="1"/>
  <c r="N11" i="130" s="1"/>
  <c r="N13" i="130" s="1"/>
  <c r="N15" i="130" s="1"/>
  <c r="N17" i="130" s="1"/>
  <c r="N19" i="130" s="1"/>
  <c r="N21" i="130" s="1"/>
  <c r="N23" i="130" s="1"/>
  <c r="N25" i="130" s="1"/>
  <c r="M5" i="130"/>
  <c r="M7" i="130" s="1"/>
  <c r="M9" i="130" s="1"/>
  <c r="M11" i="130" s="1"/>
  <c r="M13" i="130" s="1"/>
  <c r="M15" i="130" s="1"/>
  <c r="M17" i="130" s="1"/>
  <c r="M19" i="130" s="1"/>
  <c r="M21" i="130" s="1"/>
  <c r="M23" i="130" s="1"/>
  <c r="M25" i="130" s="1"/>
  <c r="L5" i="130"/>
  <c r="L7" i="130" s="1"/>
  <c r="L9" i="130" s="1"/>
  <c r="L11" i="130" s="1"/>
  <c r="L13" i="130" s="1"/>
  <c r="L15" i="130" s="1"/>
  <c r="L17" i="130" s="1"/>
  <c r="L19" i="130" s="1"/>
  <c r="L21" i="130" s="1"/>
  <c r="L23" i="130" s="1"/>
  <c r="L25" i="130" s="1"/>
  <c r="K5" i="130"/>
  <c r="K7" i="130" s="1"/>
  <c r="K9" i="130" s="1"/>
  <c r="K11" i="130" s="1"/>
  <c r="K13" i="130" s="1"/>
  <c r="K15" i="130" s="1"/>
  <c r="K17" i="130" s="1"/>
  <c r="K19" i="130" s="1"/>
  <c r="K21" i="130" s="1"/>
  <c r="K23" i="130" s="1"/>
  <c r="K25" i="130" s="1"/>
  <c r="J5" i="130"/>
  <c r="J7" i="130" s="1"/>
  <c r="J9" i="130" s="1"/>
  <c r="J11" i="130" s="1"/>
  <c r="J13" i="130" s="1"/>
  <c r="J15" i="130" s="1"/>
  <c r="J17" i="130" s="1"/>
  <c r="J19" i="130" s="1"/>
  <c r="J21" i="130" s="1"/>
  <c r="J23" i="130" s="1"/>
  <c r="J25" i="130" s="1"/>
  <c r="I5" i="130"/>
  <c r="I7" i="130" s="1"/>
  <c r="I9" i="130" s="1"/>
  <c r="I11" i="130" s="1"/>
  <c r="I13" i="130" s="1"/>
  <c r="I15" i="130" s="1"/>
  <c r="I17" i="130" s="1"/>
  <c r="I19" i="130" s="1"/>
  <c r="I21" i="130" s="1"/>
  <c r="I23" i="130" s="1"/>
  <c r="I25" i="130" s="1"/>
  <c r="H5" i="130"/>
  <c r="H7" i="130" s="1"/>
  <c r="H9" i="130" s="1"/>
  <c r="H11" i="130" s="1"/>
  <c r="H13" i="130" s="1"/>
  <c r="H15" i="130" s="1"/>
  <c r="H17" i="130" s="1"/>
  <c r="H19" i="130" s="1"/>
  <c r="H21" i="130" s="1"/>
  <c r="H23" i="130" s="1"/>
  <c r="H25" i="130" s="1"/>
  <c r="G5" i="130"/>
  <c r="G7" i="130" s="1"/>
  <c r="G9" i="130" s="1"/>
  <c r="G11" i="130" s="1"/>
  <c r="G13" i="130" s="1"/>
  <c r="G15" i="130" s="1"/>
  <c r="G17" i="130" s="1"/>
  <c r="G19" i="130" s="1"/>
  <c r="G21" i="130" s="1"/>
  <c r="G23" i="130" s="1"/>
  <c r="G25" i="130" s="1"/>
  <c r="G27" i="130" s="1"/>
  <c r="F5" i="130"/>
  <c r="F7" i="130" s="1"/>
  <c r="F9" i="130" s="1"/>
  <c r="F11" i="130" s="1"/>
  <c r="F13" i="130" s="1"/>
  <c r="F15" i="130" s="1"/>
  <c r="F17" i="130" s="1"/>
  <c r="F19" i="130" s="1"/>
  <c r="F21" i="130" s="1"/>
  <c r="F23" i="130" s="1"/>
  <c r="F25" i="130" s="1"/>
  <c r="F27" i="130" s="1"/>
  <c r="E5" i="130"/>
  <c r="E7" i="130" s="1"/>
  <c r="E9" i="130" s="1"/>
  <c r="E11" i="130" s="1"/>
  <c r="E13" i="130" s="1"/>
  <c r="E15" i="130" s="1"/>
  <c r="E17" i="130" s="1"/>
  <c r="E19" i="130" s="1"/>
  <c r="E21" i="130" s="1"/>
  <c r="E23" i="130" s="1"/>
  <c r="E25" i="130" s="1"/>
  <c r="E27" i="130" s="1"/>
  <c r="E28" i="130" s="1"/>
  <c r="D5" i="130"/>
  <c r="D7" i="130" s="1"/>
  <c r="D9" i="130" s="1"/>
  <c r="D11" i="130" s="1"/>
  <c r="D13" i="130" s="1"/>
  <c r="D15" i="130" s="1"/>
  <c r="D17" i="130" s="1"/>
  <c r="D19" i="130" s="1"/>
  <c r="D21" i="130" s="1"/>
  <c r="D23" i="130" s="1"/>
  <c r="D25" i="130" s="1"/>
  <c r="D27" i="130" s="1"/>
  <c r="C5" i="130"/>
  <c r="C7" i="130" s="1"/>
  <c r="C9" i="130" s="1"/>
  <c r="C11" i="130" s="1"/>
  <c r="C13" i="130" s="1"/>
  <c r="C15" i="130" s="1"/>
  <c r="C17" i="130" s="1"/>
  <c r="C19" i="130" s="1"/>
  <c r="C21" i="130" s="1"/>
  <c r="C23" i="130" s="1"/>
  <c r="C25" i="130" s="1"/>
  <c r="C27" i="130" s="1"/>
  <c r="B5" i="130"/>
  <c r="B7" i="130" s="1"/>
  <c r="B9" i="130" s="1"/>
  <c r="B11" i="130" s="1"/>
  <c r="B13" i="130" s="1"/>
  <c r="B15" i="130" s="1"/>
  <c r="B17" i="130" s="1"/>
  <c r="B19" i="130" s="1"/>
  <c r="B21" i="130" s="1"/>
  <c r="B23" i="130" s="1"/>
  <c r="B25" i="130" s="1"/>
  <c r="B27" i="130" s="1"/>
  <c r="AD27" i="129"/>
  <c r="AE28" i="129" s="1"/>
  <c r="AC27" i="129"/>
  <c r="AB27" i="129"/>
  <c r="AA27" i="129"/>
  <c r="Z27" i="129"/>
  <c r="Y27" i="129"/>
  <c r="X27" i="129"/>
  <c r="W27" i="129"/>
  <c r="V27" i="129"/>
  <c r="U27" i="129"/>
  <c r="T27" i="129"/>
  <c r="S27" i="129"/>
  <c r="R27" i="129"/>
  <c r="Q27" i="129"/>
  <c r="P27" i="129"/>
  <c r="O27" i="129"/>
  <c r="N27" i="129"/>
  <c r="M27" i="129"/>
  <c r="L27" i="129"/>
  <c r="K27" i="129"/>
  <c r="J27" i="129"/>
  <c r="I27" i="129"/>
  <c r="H27" i="129"/>
  <c r="B17" i="129"/>
  <c r="B19" i="129" s="1"/>
  <c r="B21" i="129" s="1"/>
  <c r="B23" i="129" s="1"/>
  <c r="B25" i="129" s="1"/>
  <c r="B27" i="129" s="1"/>
  <c r="AD5" i="129"/>
  <c r="AC5" i="129"/>
  <c r="AC7" i="129" s="1"/>
  <c r="AC9" i="129" s="1"/>
  <c r="AC11" i="129" s="1"/>
  <c r="AC13" i="129" s="1"/>
  <c r="AC15" i="129" s="1"/>
  <c r="AC17" i="129" s="1"/>
  <c r="AC19" i="129" s="1"/>
  <c r="AC21" i="129" s="1"/>
  <c r="AC23" i="129" s="1"/>
  <c r="AC25" i="129" s="1"/>
  <c r="AB5" i="129"/>
  <c r="AB7" i="129" s="1"/>
  <c r="AB9" i="129" s="1"/>
  <c r="AB11" i="129" s="1"/>
  <c r="AB13" i="129" s="1"/>
  <c r="AB15" i="129" s="1"/>
  <c r="AB17" i="129" s="1"/>
  <c r="AB19" i="129" s="1"/>
  <c r="AB21" i="129" s="1"/>
  <c r="AB23" i="129" s="1"/>
  <c r="AB25" i="129" s="1"/>
  <c r="AA5" i="129"/>
  <c r="AA7" i="129" s="1"/>
  <c r="AA9" i="129" s="1"/>
  <c r="AA11" i="129" s="1"/>
  <c r="AA13" i="129" s="1"/>
  <c r="AA15" i="129" s="1"/>
  <c r="AA17" i="129" s="1"/>
  <c r="AA19" i="129" s="1"/>
  <c r="AA21" i="129" s="1"/>
  <c r="AA23" i="129" s="1"/>
  <c r="AA25" i="129" s="1"/>
  <c r="Z5" i="129"/>
  <c r="Z7" i="129" s="1"/>
  <c r="Z9" i="129" s="1"/>
  <c r="Z11" i="129" s="1"/>
  <c r="Z13" i="129" s="1"/>
  <c r="Z15" i="129" s="1"/>
  <c r="Z17" i="129" s="1"/>
  <c r="Z19" i="129" s="1"/>
  <c r="Z21" i="129" s="1"/>
  <c r="Z23" i="129" s="1"/>
  <c r="Z25" i="129" s="1"/>
  <c r="Y5" i="129"/>
  <c r="Y7" i="129" s="1"/>
  <c r="Y9" i="129" s="1"/>
  <c r="Y11" i="129" s="1"/>
  <c r="Y13" i="129" s="1"/>
  <c r="Y15" i="129" s="1"/>
  <c r="Y17" i="129" s="1"/>
  <c r="Y19" i="129" s="1"/>
  <c r="Y21" i="129" s="1"/>
  <c r="Y23" i="129" s="1"/>
  <c r="Y25" i="129" s="1"/>
  <c r="X5" i="129"/>
  <c r="X7" i="129" s="1"/>
  <c r="X9" i="129" s="1"/>
  <c r="X11" i="129" s="1"/>
  <c r="X13" i="129" s="1"/>
  <c r="X15" i="129" s="1"/>
  <c r="X17" i="129" s="1"/>
  <c r="X19" i="129" s="1"/>
  <c r="X21" i="129" s="1"/>
  <c r="X23" i="129" s="1"/>
  <c r="X25" i="129" s="1"/>
  <c r="W5" i="129"/>
  <c r="W7" i="129" s="1"/>
  <c r="W9" i="129" s="1"/>
  <c r="W11" i="129" s="1"/>
  <c r="W13" i="129" s="1"/>
  <c r="W15" i="129" s="1"/>
  <c r="W17" i="129" s="1"/>
  <c r="W19" i="129" s="1"/>
  <c r="W21" i="129" s="1"/>
  <c r="W23" i="129" s="1"/>
  <c r="W25" i="129" s="1"/>
  <c r="V5" i="129"/>
  <c r="V7" i="129" s="1"/>
  <c r="V9" i="129" s="1"/>
  <c r="V11" i="129" s="1"/>
  <c r="V13" i="129" s="1"/>
  <c r="V15" i="129" s="1"/>
  <c r="V17" i="129" s="1"/>
  <c r="V19" i="129" s="1"/>
  <c r="V21" i="129" s="1"/>
  <c r="V23" i="129" s="1"/>
  <c r="V25" i="129" s="1"/>
  <c r="U5" i="129"/>
  <c r="U7" i="129" s="1"/>
  <c r="U9" i="129" s="1"/>
  <c r="U11" i="129" s="1"/>
  <c r="U13" i="129" s="1"/>
  <c r="U15" i="129" s="1"/>
  <c r="U17" i="129" s="1"/>
  <c r="U19" i="129" s="1"/>
  <c r="U21" i="129" s="1"/>
  <c r="U23" i="129" s="1"/>
  <c r="U25" i="129" s="1"/>
  <c r="T5" i="129"/>
  <c r="T7" i="129" s="1"/>
  <c r="T9" i="129" s="1"/>
  <c r="T11" i="129" s="1"/>
  <c r="T13" i="129" s="1"/>
  <c r="T15" i="129" s="1"/>
  <c r="T17" i="129" s="1"/>
  <c r="T19" i="129" s="1"/>
  <c r="T21" i="129" s="1"/>
  <c r="T23" i="129" s="1"/>
  <c r="T25" i="129" s="1"/>
  <c r="S5" i="129"/>
  <c r="S7" i="129" s="1"/>
  <c r="S9" i="129" s="1"/>
  <c r="S11" i="129" s="1"/>
  <c r="S13" i="129" s="1"/>
  <c r="S15" i="129" s="1"/>
  <c r="S17" i="129" s="1"/>
  <c r="S19" i="129" s="1"/>
  <c r="S21" i="129" s="1"/>
  <c r="S23" i="129" s="1"/>
  <c r="S25" i="129" s="1"/>
  <c r="R5" i="129"/>
  <c r="R7" i="129" s="1"/>
  <c r="R9" i="129" s="1"/>
  <c r="R11" i="129" s="1"/>
  <c r="R13" i="129" s="1"/>
  <c r="R15" i="129" s="1"/>
  <c r="R17" i="129" s="1"/>
  <c r="R19" i="129" s="1"/>
  <c r="R21" i="129" s="1"/>
  <c r="R23" i="129" s="1"/>
  <c r="R25" i="129" s="1"/>
  <c r="Q5" i="129"/>
  <c r="Q7" i="129" s="1"/>
  <c r="Q9" i="129" s="1"/>
  <c r="Q11" i="129" s="1"/>
  <c r="Q13" i="129" s="1"/>
  <c r="Q15" i="129" s="1"/>
  <c r="Q17" i="129" s="1"/>
  <c r="Q19" i="129" s="1"/>
  <c r="Q21" i="129" s="1"/>
  <c r="Q23" i="129" s="1"/>
  <c r="Q25" i="129" s="1"/>
  <c r="P5" i="129"/>
  <c r="P7" i="129" s="1"/>
  <c r="P9" i="129" s="1"/>
  <c r="P11" i="129" s="1"/>
  <c r="P13" i="129" s="1"/>
  <c r="P15" i="129" s="1"/>
  <c r="P17" i="129" s="1"/>
  <c r="P19" i="129" s="1"/>
  <c r="P21" i="129" s="1"/>
  <c r="P23" i="129" s="1"/>
  <c r="P25" i="129" s="1"/>
  <c r="O5" i="129"/>
  <c r="O7" i="129" s="1"/>
  <c r="O9" i="129" s="1"/>
  <c r="O11" i="129" s="1"/>
  <c r="O13" i="129" s="1"/>
  <c r="O15" i="129" s="1"/>
  <c r="O17" i="129" s="1"/>
  <c r="O19" i="129" s="1"/>
  <c r="O21" i="129" s="1"/>
  <c r="O23" i="129" s="1"/>
  <c r="O25" i="129" s="1"/>
  <c r="N5" i="129"/>
  <c r="N7" i="129" s="1"/>
  <c r="N9" i="129" s="1"/>
  <c r="N11" i="129" s="1"/>
  <c r="N13" i="129" s="1"/>
  <c r="N15" i="129" s="1"/>
  <c r="N17" i="129" s="1"/>
  <c r="N19" i="129" s="1"/>
  <c r="N21" i="129" s="1"/>
  <c r="N23" i="129" s="1"/>
  <c r="N25" i="129" s="1"/>
  <c r="M5" i="129"/>
  <c r="M7" i="129" s="1"/>
  <c r="M9" i="129" s="1"/>
  <c r="M11" i="129" s="1"/>
  <c r="M13" i="129" s="1"/>
  <c r="M15" i="129" s="1"/>
  <c r="M17" i="129" s="1"/>
  <c r="M19" i="129" s="1"/>
  <c r="M21" i="129" s="1"/>
  <c r="M23" i="129" s="1"/>
  <c r="M25" i="129" s="1"/>
  <c r="L5" i="129"/>
  <c r="L7" i="129" s="1"/>
  <c r="L9" i="129" s="1"/>
  <c r="L11" i="129" s="1"/>
  <c r="L13" i="129" s="1"/>
  <c r="L15" i="129" s="1"/>
  <c r="L17" i="129" s="1"/>
  <c r="L19" i="129" s="1"/>
  <c r="L21" i="129" s="1"/>
  <c r="L23" i="129" s="1"/>
  <c r="L25" i="129" s="1"/>
  <c r="K5" i="129"/>
  <c r="K7" i="129" s="1"/>
  <c r="K9" i="129" s="1"/>
  <c r="K11" i="129" s="1"/>
  <c r="K13" i="129" s="1"/>
  <c r="K15" i="129" s="1"/>
  <c r="K17" i="129" s="1"/>
  <c r="K19" i="129" s="1"/>
  <c r="K21" i="129" s="1"/>
  <c r="K23" i="129" s="1"/>
  <c r="K25" i="129" s="1"/>
  <c r="J5" i="129"/>
  <c r="J7" i="129" s="1"/>
  <c r="J9" i="129" s="1"/>
  <c r="J11" i="129" s="1"/>
  <c r="J13" i="129" s="1"/>
  <c r="J15" i="129" s="1"/>
  <c r="J17" i="129" s="1"/>
  <c r="J19" i="129" s="1"/>
  <c r="J21" i="129" s="1"/>
  <c r="J23" i="129" s="1"/>
  <c r="J25" i="129" s="1"/>
  <c r="I5" i="129"/>
  <c r="I7" i="129" s="1"/>
  <c r="I9" i="129" s="1"/>
  <c r="I11" i="129" s="1"/>
  <c r="I13" i="129" s="1"/>
  <c r="I15" i="129" s="1"/>
  <c r="I17" i="129" s="1"/>
  <c r="I19" i="129" s="1"/>
  <c r="I21" i="129" s="1"/>
  <c r="I23" i="129" s="1"/>
  <c r="I25" i="129" s="1"/>
  <c r="H5" i="129"/>
  <c r="H7" i="129" s="1"/>
  <c r="H9" i="129" s="1"/>
  <c r="H11" i="129" s="1"/>
  <c r="H13" i="129" s="1"/>
  <c r="H15" i="129" s="1"/>
  <c r="H17" i="129" s="1"/>
  <c r="H19" i="129" s="1"/>
  <c r="H21" i="129" s="1"/>
  <c r="H23" i="129" s="1"/>
  <c r="H25" i="129" s="1"/>
  <c r="G5" i="129"/>
  <c r="G7" i="129" s="1"/>
  <c r="G9" i="129" s="1"/>
  <c r="G11" i="129" s="1"/>
  <c r="G13" i="129" s="1"/>
  <c r="G15" i="129" s="1"/>
  <c r="G17" i="129" s="1"/>
  <c r="G19" i="129" s="1"/>
  <c r="G21" i="129" s="1"/>
  <c r="G23" i="129" s="1"/>
  <c r="G25" i="129" s="1"/>
  <c r="G27" i="129" s="1"/>
  <c r="F5" i="129"/>
  <c r="F7" i="129" s="1"/>
  <c r="F9" i="129" s="1"/>
  <c r="F11" i="129" s="1"/>
  <c r="F13" i="129" s="1"/>
  <c r="F15" i="129" s="1"/>
  <c r="F17" i="129" s="1"/>
  <c r="F19" i="129" s="1"/>
  <c r="F21" i="129" s="1"/>
  <c r="F23" i="129" s="1"/>
  <c r="F25" i="129" s="1"/>
  <c r="F27" i="129" s="1"/>
  <c r="E5" i="129"/>
  <c r="E7" i="129" s="1"/>
  <c r="E9" i="129" s="1"/>
  <c r="E11" i="129" s="1"/>
  <c r="E13" i="129" s="1"/>
  <c r="E15" i="129" s="1"/>
  <c r="E17" i="129" s="1"/>
  <c r="E19" i="129" s="1"/>
  <c r="E21" i="129" s="1"/>
  <c r="E23" i="129" s="1"/>
  <c r="E25" i="129" s="1"/>
  <c r="E27" i="129" s="1"/>
  <c r="D5" i="129"/>
  <c r="D7" i="129" s="1"/>
  <c r="D9" i="129" s="1"/>
  <c r="D11" i="129" s="1"/>
  <c r="D13" i="129" s="1"/>
  <c r="D15" i="129" s="1"/>
  <c r="D17" i="129" s="1"/>
  <c r="D19" i="129" s="1"/>
  <c r="D21" i="129" s="1"/>
  <c r="D23" i="129" s="1"/>
  <c r="D25" i="129" s="1"/>
  <c r="D27" i="129" s="1"/>
  <c r="C5" i="129"/>
  <c r="C7" i="129" s="1"/>
  <c r="C9" i="129" s="1"/>
  <c r="C11" i="129" s="1"/>
  <c r="C13" i="129" s="1"/>
  <c r="C15" i="129" s="1"/>
  <c r="C17" i="129" s="1"/>
  <c r="C19" i="129" s="1"/>
  <c r="C21" i="129" s="1"/>
  <c r="C23" i="129" s="1"/>
  <c r="C25" i="129" s="1"/>
  <c r="C27" i="129" s="1"/>
  <c r="AC27" i="128"/>
  <c r="AB27" i="128"/>
  <c r="AA27" i="128"/>
  <c r="Z27" i="128"/>
  <c r="AA28" i="128" s="1"/>
  <c r="Y27" i="128"/>
  <c r="X27" i="128"/>
  <c r="W27" i="128"/>
  <c r="V27" i="128"/>
  <c r="U27" i="128"/>
  <c r="T27" i="128"/>
  <c r="S27" i="128"/>
  <c r="R27" i="128"/>
  <c r="Q27" i="128"/>
  <c r="P27" i="128"/>
  <c r="O27" i="128"/>
  <c r="N27" i="128"/>
  <c r="M27" i="128"/>
  <c r="L27" i="128"/>
  <c r="K27" i="128"/>
  <c r="K28" i="128" s="1"/>
  <c r="I27" i="128"/>
  <c r="J28" i="128" s="1"/>
  <c r="H27" i="128"/>
  <c r="J26" i="128"/>
  <c r="B19" i="128"/>
  <c r="B21" i="128" s="1"/>
  <c r="B23" i="128" s="1"/>
  <c r="B25" i="128" s="1"/>
  <c r="B27" i="128" s="1"/>
  <c r="AD5" i="128"/>
  <c r="AC5" i="128"/>
  <c r="AC7" i="128" s="1"/>
  <c r="AC9" i="128" s="1"/>
  <c r="AC11" i="128" s="1"/>
  <c r="AC13" i="128" s="1"/>
  <c r="AC15" i="128" s="1"/>
  <c r="AC17" i="128" s="1"/>
  <c r="AC19" i="128" s="1"/>
  <c r="AC21" i="128" s="1"/>
  <c r="AC23" i="128" s="1"/>
  <c r="AC25" i="128" s="1"/>
  <c r="AB5" i="128"/>
  <c r="AB7" i="128" s="1"/>
  <c r="AB9" i="128" s="1"/>
  <c r="AB11" i="128" s="1"/>
  <c r="AB13" i="128" s="1"/>
  <c r="AB15" i="128" s="1"/>
  <c r="AB17" i="128" s="1"/>
  <c r="AB19" i="128" s="1"/>
  <c r="AB21" i="128" s="1"/>
  <c r="AB23" i="128" s="1"/>
  <c r="AB25" i="128" s="1"/>
  <c r="AA5" i="128"/>
  <c r="AA7" i="128" s="1"/>
  <c r="AA9" i="128" s="1"/>
  <c r="AA11" i="128" s="1"/>
  <c r="AA13" i="128" s="1"/>
  <c r="AA15" i="128" s="1"/>
  <c r="AA17" i="128" s="1"/>
  <c r="AA19" i="128" s="1"/>
  <c r="AA21" i="128" s="1"/>
  <c r="AA23" i="128" s="1"/>
  <c r="AA25" i="128" s="1"/>
  <c r="Z5" i="128"/>
  <c r="Z7" i="128" s="1"/>
  <c r="Z9" i="128" s="1"/>
  <c r="Z11" i="128" s="1"/>
  <c r="Z13" i="128" s="1"/>
  <c r="Z15" i="128" s="1"/>
  <c r="Z17" i="128" s="1"/>
  <c r="Z19" i="128" s="1"/>
  <c r="Z21" i="128" s="1"/>
  <c r="Z23" i="128" s="1"/>
  <c r="Z25" i="128" s="1"/>
  <c r="Y5" i="128"/>
  <c r="Y7" i="128" s="1"/>
  <c r="Y9" i="128" s="1"/>
  <c r="Y11" i="128" s="1"/>
  <c r="Y13" i="128" s="1"/>
  <c r="Y15" i="128" s="1"/>
  <c r="Y17" i="128" s="1"/>
  <c r="Y19" i="128" s="1"/>
  <c r="Y21" i="128" s="1"/>
  <c r="Y23" i="128" s="1"/>
  <c r="Y25" i="128" s="1"/>
  <c r="X5" i="128"/>
  <c r="X7" i="128" s="1"/>
  <c r="X9" i="128" s="1"/>
  <c r="X11" i="128" s="1"/>
  <c r="X13" i="128" s="1"/>
  <c r="X15" i="128" s="1"/>
  <c r="X17" i="128" s="1"/>
  <c r="X19" i="128" s="1"/>
  <c r="X21" i="128" s="1"/>
  <c r="X23" i="128" s="1"/>
  <c r="X25" i="128" s="1"/>
  <c r="W5" i="128"/>
  <c r="W7" i="128" s="1"/>
  <c r="W9" i="128" s="1"/>
  <c r="W11" i="128" s="1"/>
  <c r="W13" i="128" s="1"/>
  <c r="W15" i="128" s="1"/>
  <c r="W17" i="128" s="1"/>
  <c r="W19" i="128" s="1"/>
  <c r="W21" i="128" s="1"/>
  <c r="W23" i="128" s="1"/>
  <c r="W25" i="128" s="1"/>
  <c r="V5" i="128"/>
  <c r="V7" i="128" s="1"/>
  <c r="V9" i="128" s="1"/>
  <c r="V11" i="128" s="1"/>
  <c r="V13" i="128" s="1"/>
  <c r="V15" i="128" s="1"/>
  <c r="V17" i="128" s="1"/>
  <c r="V19" i="128" s="1"/>
  <c r="V21" i="128" s="1"/>
  <c r="V23" i="128" s="1"/>
  <c r="V25" i="128" s="1"/>
  <c r="U5" i="128"/>
  <c r="U7" i="128" s="1"/>
  <c r="U9" i="128" s="1"/>
  <c r="U11" i="128" s="1"/>
  <c r="U13" i="128" s="1"/>
  <c r="U15" i="128" s="1"/>
  <c r="U17" i="128" s="1"/>
  <c r="U19" i="128" s="1"/>
  <c r="U21" i="128" s="1"/>
  <c r="U23" i="128" s="1"/>
  <c r="U25" i="128" s="1"/>
  <c r="T5" i="128"/>
  <c r="T7" i="128" s="1"/>
  <c r="T9" i="128" s="1"/>
  <c r="T11" i="128" s="1"/>
  <c r="T13" i="128" s="1"/>
  <c r="T15" i="128" s="1"/>
  <c r="T17" i="128" s="1"/>
  <c r="T19" i="128" s="1"/>
  <c r="T21" i="128" s="1"/>
  <c r="T23" i="128" s="1"/>
  <c r="T25" i="128" s="1"/>
  <c r="S5" i="128"/>
  <c r="S7" i="128" s="1"/>
  <c r="S9" i="128" s="1"/>
  <c r="S11" i="128" s="1"/>
  <c r="S13" i="128" s="1"/>
  <c r="S15" i="128" s="1"/>
  <c r="S17" i="128" s="1"/>
  <c r="S19" i="128" s="1"/>
  <c r="S21" i="128" s="1"/>
  <c r="S23" i="128" s="1"/>
  <c r="S25" i="128" s="1"/>
  <c r="R5" i="128"/>
  <c r="R7" i="128" s="1"/>
  <c r="R9" i="128" s="1"/>
  <c r="R11" i="128" s="1"/>
  <c r="R13" i="128" s="1"/>
  <c r="R15" i="128" s="1"/>
  <c r="R17" i="128" s="1"/>
  <c r="R19" i="128" s="1"/>
  <c r="R21" i="128" s="1"/>
  <c r="R23" i="128" s="1"/>
  <c r="R25" i="128" s="1"/>
  <c r="Q5" i="128"/>
  <c r="Q7" i="128" s="1"/>
  <c r="Q9" i="128" s="1"/>
  <c r="Q11" i="128" s="1"/>
  <c r="Q13" i="128" s="1"/>
  <c r="Q15" i="128" s="1"/>
  <c r="Q17" i="128" s="1"/>
  <c r="Q19" i="128" s="1"/>
  <c r="Q21" i="128" s="1"/>
  <c r="Q23" i="128" s="1"/>
  <c r="Q25" i="128" s="1"/>
  <c r="P5" i="128"/>
  <c r="P7" i="128" s="1"/>
  <c r="P9" i="128" s="1"/>
  <c r="P11" i="128" s="1"/>
  <c r="P13" i="128" s="1"/>
  <c r="P15" i="128" s="1"/>
  <c r="P17" i="128" s="1"/>
  <c r="P19" i="128" s="1"/>
  <c r="P21" i="128" s="1"/>
  <c r="P23" i="128" s="1"/>
  <c r="P25" i="128" s="1"/>
  <c r="O5" i="128"/>
  <c r="O7" i="128" s="1"/>
  <c r="O9" i="128" s="1"/>
  <c r="O11" i="128" s="1"/>
  <c r="O13" i="128" s="1"/>
  <c r="O15" i="128" s="1"/>
  <c r="O17" i="128" s="1"/>
  <c r="O19" i="128" s="1"/>
  <c r="O21" i="128" s="1"/>
  <c r="O23" i="128" s="1"/>
  <c r="O25" i="128" s="1"/>
  <c r="N5" i="128"/>
  <c r="N7" i="128" s="1"/>
  <c r="N9" i="128" s="1"/>
  <c r="N11" i="128" s="1"/>
  <c r="N13" i="128" s="1"/>
  <c r="N15" i="128" s="1"/>
  <c r="N17" i="128" s="1"/>
  <c r="N19" i="128" s="1"/>
  <c r="N21" i="128" s="1"/>
  <c r="N23" i="128" s="1"/>
  <c r="N25" i="128" s="1"/>
  <c r="M5" i="128"/>
  <c r="M7" i="128" s="1"/>
  <c r="M9" i="128" s="1"/>
  <c r="M11" i="128" s="1"/>
  <c r="M13" i="128" s="1"/>
  <c r="M15" i="128" s="1"/>
  <c r="M17" i="128" s="1"/>
  <c r="M19" i="128" s="1"/>
  <c r="M21" i="128" s="1"/>
  <c r="M23" i="128" s="1"/>
  <c r="M25" i="128" s="1"/>
  <c r="L5" i="128"/>
  <c r="L7" i="128" s="1"/>
  <c r="L9" i="128" s="1"/>
  <c r="L11" i="128" s="1"/>
  <c r="L13" i="128" s="1"/>
  <c r="L15" i="128" s="1"/>
  <c r="L17" i="128" s="1"/>
  <c r="L19" i="128" s="1"/>
  <c r="L21" i="128" s="1"/>
  <c r="L23" i="128" s="1"/>
  <c r="L25" i="128" s="1"/>
  <c r="K5" i="128"/>
  <c r="K7" i="128" s="1"/>
  <c r="K9" i="128" s="1"/>
  <c r="K11" i="128" s="1"/>
  <c r="K13" i="128" s="1"/>
  <c r="K15" i="128" s="1"/>
  <c r="K17" i="128" s="1"/>
  <c r="K19" i="128" s="1"/>
  <c r="K21" i="128" s="1"/>
  <c r="K23" i="128" s="1"/>
  <c r="K25" i="128" s="1"/>
  <c r="J5" i="128"/>
  <c r="J7" i="128" s="1"/>
  <c r="J9" i="128" s="1"/>
  <c r="J11" i="128" s="1"/>
  <c r="J13" i="128" s="1"/>
  <c r="I5" i="128"/>
  <c r="I7" i="128" s="1"/>
  <c r="I9" i="128" s="1"/>
  <c r="I11" i="128" s="1"/>
  <c r="I13" i="128" s="1"/>
  <c r="I15" i="128" s="1"/>
  <c r="I17" i="128" s="1"/>
  <c r="I19" i="128" s="1"/>
  <c r="I21" i="128" s="1"/>
  <c r="I23" i="128" s="1"/>
  <c r="I25" i="128" s="1"/>
  <c r="H5" i="128"/>
  <c r="H7" i="128" s="1"/>
  <c r="H9" i="128" s="1"/>
  <c r="H11" i="128" s="1"/>
  <c r="H13" i="128" s="1"/>
  <c r="H15" i="128" s="1"/>
  <c r="H17" i="128" s="1"/>
  <c r="H19" i="128" s="1"/>
  <c r="H21" i="128" s="1"/>
  <c r="H23" i="128" s="1"/>
  <c r="H25" i="128" s="1"/>
  <c r="G5" i="128"/>
  <c r="G7" i="128" s="1"/>
  <c r="G9" i="128" s="1"/>
  <c r="G11" i="128" s="1"/>
  <c r="G13" i="128" s="1"/>
  <c r="G15" i="128" s="1"/>
  <c r="G17" i="128" s="1"/>
  <c r="G19" i="128" s="1"/>
  <c r="G21" i="128" s="1"/>
  <c r="G23" i="128" s="1"/>
  <c r="G25" i="128" s="1"/>
  <c r="G27" i="128" s="1"/>
  <c r="F5" i="128"/>
  <c r="F7" i="128" s="1"/>
  <c r="F9" i="128" s="1"/>
  <c r="F11" i="128" s="1"/>
  <c r="F13" i="128" s="1"/>
  <c r="F15" i="128" s="1"/>
  <c r="F17" i="128" s="1"/>
  <c r="F19" i="128" s="1"/>
  <c r="F21" i="128" s="1"/>
  <c r="F23" i="128" s="1"/>
  <c r="F25" i="128" s="1"/>
  <c r="F27" i="128" s="1"/>
  <c r="E5" i="128"/>
  <c r="E7" i="128" s="1"/>
  <c r="E9" i="128" s="1"/>
  <c r="E11" i="128" s="1"/>
  <c r="E13" i="128" s="1"/>
  <c r="E15" i="128" s="1"/>
  <c r="E17" i="128" s="1"/>
  <c r="E19" i="128" s="1"/>
  <c r="E21" i="128" s="1"/>
  <c r="E23" i="128" s="1"/>
  <c r="E25" i="128" s="1"/>
  <c r="E27" i="128" s="1"/>
  <c r="D5" i="128"/>
  <c r="D7" i="128" s="1"/>
  <c r="D9" i="128" s="1"/>
  <c r="D11" i="128" s="1"/>
  <c r="D13" i="128" s="1"/>
  <c r="D15" i="128" s="1"/>
  <c r="D17" i="128" s="1"/>
  <c r="D19" i="128" s="1"/>
  <c r="D21" i="128" s="1"/>
  <c r="D23" i="128" s="1"/>
  <c r="D25" i="128" s="1"/>
  <c r="D27" i="128" s="1"/>
  <c r="C5" i="128"/>
  <c r="C7" i="128" s="1"/>
  <c r="C9" i="128" s="1"/>
  <c r="C11" i="128" s="1"/>
  <c r="C13" i="128" s="1"/>
  <c r="C15" i="128" s="1"/>
  <c r="C17" i="128" s="1"/>
  <c r="C19" i="128" s="1"/>
  <c r="C21" i="128" s="1"/>
  <c r="C23" i="128" s="1"/>
  <c r="C25" i="128" s="1"/>
  <c r="C27" i="128" s="1"/>
  <c r="AC27" i="127"/>
  <c r="AB27" i="127"/>
  <c r="AA27" i="127"/>
  <c r="Z27" i="127"/>
  <c r="Y27" i="127"/>
  <c r="X27" i="127"/>
  <c r="W27" i="127"/>
  <c r="V27" i="127"/>
  <c r="U27" i="127"/>
  <c r="T27" i="127"/>
  <c r="S27" i="127"/>
  <c r="R27" i="127"/>
  <c r="Q27" i="127"/>
  <c r="P27" i="127"/>
  <c r="O27" i="127"/>
  <c r="N27" i="127"/>
  <c r="M27" i="127"/>
  <c r="L27" i="127"/>
  <c r="K27" i="127"/>
  <c r="K28" i="127" s="1"/>
  <c r="I27" i="127"/>
  <c r="J28" i="127" s="1"/>
  <c r="H27" i="127"/>
  <c r="J26" i="127"/>
  <c r="F26" i="127"/>
  <c r="E26" i="127"/>
  <c r="D26" i="127"/>
  <c r="C26" i="127"/>
  <c r="F24" i="127"/>
  <c r="D24" i="127"/>
  <c r="C24" i="127"/>
  <c r="F22" i="127"/>
  <c r="E22" i="127"/>
  <c r="D22" i="127"/>
  <c r="C22" i="127"/>
  <c r="F20" i="127"/>
  <c r="E20" i="127"/>
  <c r="D20" i="127"/>
  <c r="C20" i="127"/>
  <c r="F18" i="127"/>
  <c r="E18" i="127"/>
  <c r="D18" i="127"/>
  <c r="C18" i="127"/>
  <c r="B17" i="127"/>
  <c r="B19" i="127" s="1"/>
  <c r="B21" i="127" s="1"/>
  <c r="B23" i="127" s="1"/>
  <c r="B25" i="127" s="1"/>
  <c r="B27" i="127" s="1"/>
  <c r="F16" i="127"/>
  <c r="E16" i="127"/>
  <c r="D16" i="127"/>
  <c r="C16" i="127"/>
  <c r="F14" i="127"/>
  <c r="E14" i="127"/>
  <c r="D14" i="127"/>
  <c r="C14" i="127"/>
  <c r="F12" i="127"/>
  <c r="E12" i="127"/>
  <c r="D12" i="127"/>
  <c r="C12" i="127"/>
  <c r="E10" i="127"/>
  <c r="D10" i="127"/>
  <c r="C10" i="127"/>
  <c r="E8" i="127"/>
  <c r="D8" i="127"/>
  <c r="C8" i="127"/>
  <c r="G6" i="127"/>
  <c r="F6" i="127"/>
  <c r="E6" i="127"/>
  <c r="D6" i="127"/>
  <c r="C6" i="127"/>
  <c r="AD5" i="127"/>
  <c r="AC5" i="127"/>
  <c r="AC7" i="127" s="1"/>
  <c r="AC9" i="127" s="1"/>
  <c r="AC11" i="127" s="1"/>
  <c r="AC13" i="127" s="1"/>
  <c r="AC15" i="127" s="1"/>
  <c r="AC17" i="127" s="1"/>
  <c r="AC19" i="127" s="1"/>
  <c r="AC21" i="127" s="1"/>
  <c r="AC23" i="127" s="1"/>
  <c r="AC25" i="127" s="1"/>
  <c r="AB5" i="127"/>
  <c r="AB7" i="127" s="1"/>
  <c r="AB9" i="127" s="1"/>
  <c r="AB11" i="127" s="1"/>
  <c r="AB13" i="127" s="1"/>
  <c r="AB15" i="127" s="1"/>
  <c r="AB17" i="127" s="1"/>
  <c r="AB19" i="127" s="1"/>
  <c r="AB21" i="127" s="1"/>
  <c r="AB23" i="127" s="1"/>
  <c r="AB25" i="127" s="1"/>
  <c r="AA5" i="127"/>
  <c r="AA7" i="127" s="1"/>
  <c r="AA9" i="127" s="1"/>
  <c r="AA11" i="127" s="1"/>
  <c r="AA13" i="127" s="1"/>
  <c r="AA15" i="127" s="1"/>
  <c r="AA17" i="127" s="1"/>
  <c r="AA19" i="127" s="1"/>
  <c r="AA21" i="127" s="1"/>
  <c r="AA23" i="127" s="1"/>
  <c r="AA25" i="127" s="1"/>
  <c r="Z5" i="127"/>
  <c r="Z7" i="127" s="1"/>
  <c r="Z9" i="127" s="1"/>
  <c r="Z11" i="127" s="1"/>
  <c r="Z13" i="127" s="1"/>
  <c r="Z15" i="127" s="1"/>
  <c r="Z17" i="127" s="1"/>
  <c r="Z19" i="127" s="1"/>
  <c r="Z21" i="127" s="1"/>
  <c r="Z23" i="127" s="1"/>
  <c r="Z25" i="127" s="1"/>
  <c r="Y5" i="127"/>
  <c r="Y7" i="127" s="1"/>
  <c r="Y9" i="127" s="1"/>
  <c r="Y11" i="127" s="1"/>
  <c r="Y13" i="127" s="1"/>
  <c r="Y15" i="127" s="1"/>
  <c r="Y17" i="127" s="1"/>
  <c r="Y19" i="127" s="1"/>
  <c r="Y21" i="127" s="1"/>
  <c r="Y23" i="127" s="1"/>
  <c r="Y25" i="127" s="1"/>
  <c r="X5" i="127"/>
  <c r="X7" i="127" s="1"/>
  <c r="X9" i="127" s="1"/>
  <c r="X11" i="127" s="1"/>
  <c r="X13" i="127" s="1"/>
  <c r="X15" i="127" s="1"/>
  <c r="X17" i="127" s="1"/>
  <c r="X19" i="127" s="1"/>
  <c r="X21" i="127" s="1"/>
  <c r="X23" i="127" s="1"/>
  <c r="X25" i="127" s="1"/>
  <c r="W5" i="127"/>
  <c r="W7" i="127" s="1"/>
  <c r="W9" i="127" s="1"/>
  <c r="W11" i="127" s="1"/>
  <c r="W13" i="127" s="1"/>
  <c r="W15" i="127" s="1"/>
  <c r="W17" i="127" s="1"/>
  <c r="W19" i="127" s="1"/>
  <c r="W21" i="127" s="1"/>
  <c r="W23" i="127" s="1"/>
  <c r="W25" i="127" s="1"/>
  <c r="V5" i="127"/>
  <c r="V7" i="127" s="1"/>
  <c r="V9" i="127" s="1"/>
  <c r="V11" i="127" s="1"/>
  <c r="V13" i="127" s="1"/>
  <c r="V15" i="127" s="1"/>
  <c r="V17" i="127" s="1"/>
  <c r="V19" i="127" s="1"/>
  <c r="V21" i="127" s="1"/>
  <c r="V23" i="127" s="1"/>
  <c r="V25" i="127" s="1"/>
  <c r="U5" i="127"/>
  <c r="U7" i="127" s="1"/>
  <c r="U9" i="127" s="1"/>
  <c r="U11" i="127" s="1"/>
  <c r="U13" i="127" s="1"/>
  <c r="U15" i="127" s="1"/>
  <c r="U17" i="127" s="1"/>
  <c r="U19" i="127" s="1"/>
  <c r="U21" i="127" s="1"/>
  <c r="U23" i="127" s="1"/>
  <c r="U25" i="127" s="1"/>
  <c r="T5" i="127"/>
  <c r="T7" i="127" s="1"/>
  <c r="T9" i="127" s="1"/>
  <c r="T11" i="127" s="1"/>
  <c r="T13" i="127" s="1"/>
  <c r="T15" i="127" s="1"/>
  <c r="T17" i="127" s="1"/>
  <c r="T19" i="127" s="1"/>
  <c r="T21" i="127" s="1"/>
  <c r="T23" i="127" s="1"/>
  <c r="T25" i="127" s="1"/>
  <c r="S5" i="127"/>
  <c r="S7" i="127" s="1"/>
  <c r="S9" i="127" s="1"/>
  <c r="S11" i="127" s="1"/>
  <c r="S13" i="127" s="1"/>
  <c r="S15" i="127" s="1"/>
  <c r="S17" i="127" s="1"/>
  <c r="S19" i="127" s="1"/>
  <c r="S21" i="127" s="1"/>
  <c r="S23" i="127" s="1"/>
  <c r="S25" i="127" s="1"/>
  <c r="R5" i="127"/>
  <c r="R7" i="127" s="1"/>
  <c r="R9" i="127" s="1"/>
  <c r="R11" i="127" s="1"/>
  <c r="R13" i="127" s="1"/>
  <c r="R15" i="127" s="1"/>
  <c r="R17" i="127" s="1"/>
  <c r="R19" i="127" s="1"/>
  <c r="R21" i="127" s="1"/>
  <c r="R23" i="127" s="1"/>
  <c r="R25" i="127" s="1"/>
  <c r="Q5" i="127"/>
  <c r="Q7" i="127" s="1"/>
  <c r="Q9" i="127" s="1"/>
  <c r="Q11" i="127" s="1"/>
  <c r="Q13" i="127" s="1"/>
  <c r="Q15" i="127" s="1"/>
  <c r="Q17" i="127" s="1"/>
  <c r="Q19" i="127" s="1"/>
  <c r="Q21" i="127" s="1"/>
  <c r="Q23" i="127" s="1"/>
  <c r="Q25" i="127" s="1"/>
  <c r="P5" i="127"/>
  <c r="P7" i="127" s="1"/>
  <c r="P9" i="127" s="1"/>
  <c r="P11" i="127" s="1"/>
  <c r="P13" i="127" s="1"/>
  <c r="P15" i="127" s="1"/>
  <c r="P17" i="127" s="1"/>
  <c r="P19" i="127" s="1"/>
  <c r="P21" i="127" s="1"/>
  <c r="P23" i="127" s="1"/>
  <c r="P25" i="127" s="1"/>
  <c r="O5" i="127"/>
  <c r="O7" i="127" s="1"/>
  <c r="O9" i="127" s="1"/>
  <c r="O11" i="127" s="1"/>
  <c r="O13" i="127" s="1"/>
  <c r="O15" i="127" s="1"/>
  <c r="O17" i="127" s="1"/>
  <c r="O19" i="127" s="1"/>
  <c r="O21" i="127" s="1"/>
  <c r="O23" i="127" s="1"/>
  <c r="O25" i="127" s="1"/>
  <c r="N5" i="127"/>
  <c r="N7" i="127" s="1"/>
  <c r="N9" i="127" s="1"/>
  <c r="N11" i="127" s="1"/>
  <c r="N13" i="127" s="1"/>
  <c r="N15" i="127" s="1"/>
  <c r="N17" i="127" s="1"/>
  <c r="N19" i="127" s="1"/>
  <c r="N21" i="127" s="1"/>
  <c r="N23" i="127" s="1"/>
  <c r="N25" i="127" s="1"/>
  <c r="M5" i="127"/>
  <c r="M7" i="127" s="1"/>
  <c r="M9" i="127" s="1"/>
  <c r="M11" i="127" s="1"/>
  <c r="M13" i="127" s="1"/>
  <c r="M15" i="127" s="1"/>
  <c r="M17" i="127" s="1"/>
  <c r="M19" i="127" s="1"/>
  <c r="M21" i="127" s="1"/>
  <c r="M23" i="127" s="1"/>
  <c r="M25" i="127" s="1"/>
  <c r="L5" i="127"/>
  <c r="L7" i="127" s="1"/>
  <c r="L9" i="127" s="1"/>
  <c r="L11" i="127" s="1"/>
  <c r="L13" i="127" s="1"/>
  <c r="L15" i="127" s="1"/>
  <c r="L17" i="127" s="1"/>
  <c r="L19" i="127" s="1"/>
  <c r="L21" i="127" s="1"/>
  <c r="L23" i="127" s="1"/>
  <c r="L25" i="127" s="1"/>
  <c r="K5" i="127"/>
  <c r="K7" i="127" s="1"/>
  <c r="K9" i="127" s="1"/>
  <c r="K11" i="127" s="1"/>
  <c r="K13" i="127" s="1"/>
  <c r="K15" i="127" s="1"/>
  <c r="K17" i="127" s="1"/>
  <c r="K19" i="127" s="1"/>
  <c r="K21" i="127" s="1"/>
  <c r="K23" i="127" s="1"/>
  <c r="K25" i="127" s="1"/>
  <c r="J5" i="127"/>
  <c r="J7" i="127" s="1"/>
  <c r="J9" i="127" s="1"/>
  <c r="J11" i="127" s="1"/>
  <c r="J13" i="127" s="1"/>
  <c r="I5" i="127"/>
  <c r="I7" i="127" s="1"/>
  <c r="I9" i="127" s="1"/>
  <c r="I11" i="127" s="1"/>
  <c r="I13" i="127" s="1"/>
  <c r="I15" i="127" s="1"/>
  <c r="I17" i="127" s="1"/>
  <c r="I19" i="127" s="1"/>
  <c r="I21" i="127" s="1"/>
  <c r="I23" i="127" s="1"/>
  <c r="I25" i="127" s="1"/>
  <c r="H5" i="127"/>
  <c r="H7" i="127" s="1"/>
  <c r="H9" i="127" s="1"/>
  <c r="H11" i="127" s="1"/>
  <c r="H13" i="127" s="1"/>
  <c r="H15" i="127" s="1"/>
  <c r="H17" i="127" s="1"/>
  <c r="H19" i="127" s="1"/>
  <c r="H21" i="127" s="1"/>
  <c r="H23" i="127" s="1"/>
  <c r="H25" i="127" s="1"/>
  <c r="G5" i="127"/>
  <c r="G7" i="127" s="1"/>
  <c r="G9" i="127" s="1"/>
  <c r="G11" i="127" s="1"/>
  <c r="G13" i="127" s="1"/>
  <c r="G15" i="127" s="1"/>
  <c r="G17" i="127" s="1"/>
  <c r="G19" i="127" s="1"/>
  <c r="G21" i="127" s="1"/>
  <c r="G23" i="127" s="1"/>
  <c r="G25" i="127" s="1"/>
  <c r="G27" i="127" s="1"/>
  <c r="F5" i="127"/>
  <c r="F7" i="127" s="1"/>
  <c r="F9" i="127" s="1"/>
  <c r="F11" i="127" s="1"/>
  <c r="E4" i="127"/>
  <c r="E5" i="127" s="1"/>
  <c r="D4" i="127"/>
  <c r="D5" i="127" s="1"/>
  <c r="D7" i="127" s="1"/>
  <c r="C4" i="127"/>
  <c r="C5" i="127" s="1"/>
  <c r="C7" i="127" s="1"/>
  <c r="C9" i="127" s="1"/>
  <c r="C11" i="127" s="1"/>
  <c r="C13" i="127" s="1"/>
  <c r="C15" i="127" s="1"/>
  <c r="C17" i="127" s="1"/>
  <c r="C19" i="127" s="1"/>
  <c r="D28" i="132" l="1"/>
  <c r="H28" i="132"/>
  <c r="L28" i="132"/>
  <c r="P28" i="132"/>
  <c r="P28" i="131"/>
  <c r="M28" i="131"/>
  <c r="G28" i="130"/>
  <c r="R15" i="130"/>
  <c r="D9" i="127"/>
  <c r="D11" i="127" s="1"/>
  <c r="D13" i="127" s="1"/>
  <c r="D15" i="127" s="1"/>
  <c r="D17" i="127" s="1"/>
  <c r="D19" i="127" s="1"/>
  <c r="D21" i="127" s="1"/>
  <c r="D23" i="127" s="1"/>
  <c r="D25" i="127" s="1"/>
  <c r="D27" i="127" s="1"/>
  <c r="AA28" i="127"/>
  <c r="N28" i="127"/>
  <c r="R28" i="127"/>
  <c r="M28" i="127"/>
  <c r="Q28" i="127"/>
  <c r="U28" i="127"/>
  <c r="Y28" i="127"/>
  <c r="AC28" i="127"/>
  <c r="G28" i="128"/>
  <c r="O28" i="128"/>
  <c r="AE13" i="129"/>
  <c r="V28" i="129"/>
  <c r="R15" i="132"/>
  <c r="R15" i="131"/>
  <c r="AE15" i="127"/>
  <c r="K28" i="132"/>
  <c r="D28" i="131"/>
  <c r="M28" i="128"/>
  <c r="U28" i="128"/>
  <c r="AC28" i="128"/>
  <c r="Z28" i="128"/>
  <c r="S28" i="127"/>
  <c r="L28" i="129"/>
  <c r="P28" i="129"/>
  <c r="T28" i="129"/>
  <c r="X28" i="129"/>
  <c r="AB28" i="129"/>
  <c r="N28" i="129"/>
  <c r="U28" i="129"/>
  <c r="AD28" i="129"/>
  <c r="Q7" i="130"/>
  <c r="AE15" i="128"/>
  <c r="R28" i="132"/>
  <c r="E28" i="132"/>
  <c r="I28" i="132"/>
  <c r="M28" i="132"/>
  <c r="C28" i="132"/>
  <c r="O28" i="132"/>
  <c r="E28" i="131"/>
  <c r="J28" i="131"/>
  <c r="N28" i="131"/>
  <c r="K28" i="131"/>
  <c r="O28" i="131"/>
  <c r="D28" i="130"/>
  <c r="L28" i="130"/>
  <c r="P28" i="130"/>
  <c r="E28" i="128"/>
  <c r="V28" i="128"/>
  <c r="L28" i="128"/>
  <c r="P28" i="128"/>
  <c r="T28" i="128"/>
  <c r="X28" i="128"/>
  <c r="AB28" i="128"/>
  <c r="I28" i="128"/>
  <c r="N28" i="128"/>
  <c r="S28" i="128"/>
  <c r="W28" i="128"/>
  <c r="I28" i="127"/>
  <c r="C21" i="127"/>
  <c r="C23" i="127" s="1"/>
  <c r="C25" i="127" s="1"/>
  <c r="C27" i="127" s="1"/>
  <c r="D28" i="127" s="1"/>
  <c r="F13" i="127"/>
  <c r="F15" i="127" s="1"/>
  <c r="F17" i="127" s="1"/>
  <c r="F19" i="127" s="1"/>
  <c r="F21" i="127" s="1"/>
  <c r="F23" i="127" s="1"/>
  <c r="F25" i="127" s="1"/>
  <c r="F27" i="127" s="1"/>
  <c r="G28" i="127" s="1"/>
  <c r="O28" i="127"/>
  <c r="Z28" i="127"/>
  <c r="X28" i="127"/>
  <c r="AB28" i="127"/>
  <c r="E7" i="127"/>
  <c r="E9" i="127" s="1"/>
  <c r="E28" i="129"/>
  <c r="I28" i="129"/>
  <c r="Q28" i="129"/>
  <c r="Y28" i="129"/>
  <c r="Z28" i="129"/>
  <c r="F28" i="129"/>
  <c r="K28" i="129"/>
  <c r="O28" i="129"/>
  <c r="S28" i="129"/>
  <c r="W28" i="129"/>
  <c r="AA28" i="129"/>
  <c r="R28" i="129"/>
  <c r="AC28" i="129"/>
  <c r="M28" i="129"/>
  <c r="J28" i="129"/>
  <c r="AD7" i="127"/>
  <c r="AD7" i="129"/>
  <c r="E11" i="127"/>
  <c r="E13" i="127" s="1"/>
  <c r="E15" i="127" s="1"/>
  <c r="E17" i="127" s="1"/>
  <c r="E19" i="127" s="1"/>
  <c r="E21" i="127" s="1"/>
  <c r="E23" i="127" s="1"/>
  <c r="E25" i="127" s="1"/>
  <c r="E27" i="127" s="1"/>
  <c r="E28" i="127" s="1"/>
  <c r="D28" i="128"/>
  <c r="F28" i="128"/>
  <c r="AD7" i="128"/>
  <c r="I28" i="131"/>
  <c r="H28" i="131"/>
  <c r="W28" i="127"/>
  <c r="V28" i="127"/>
  <c r="D28" i="129"/>
  <c r="G28" i="129"/>
  <c r="F28" i="130"/>
  <c r="L28" i="127"/>
  <c r="P28" i="127"/>
  <c r="T28" i="127"/>
  <c r="G28" i="131"/>
  <c r="H28" i="127"/>
  <c r="C28" i="130"/>
  <c r="Q7" i="131"/>
  <c r="Q28" i="128"/>
  <c r="H28" i="129"/>
  <c r="O28" i="130"/>
  <c r="N28" i="130"/>
  <c r="H28" i="128"/>
  <c r="R28" i="128"/>
  <c r="J28" i="130"/>
  <c r="Y28" i="128"/>
  <c r="C28" i="131"/>
  <c r="Q9" i="132"/>
  <c r="H28" i="130"/>
  <c r="J28" i="132"/>
  <c r="F28" i="132"/>
  <c r="N28" i="132"/>
  <c r="R17" i="130" l="1"/>
  <c r="AE15" i="129"/>
  <c r="R17" i="132"/>
  <c r="R17" i="131"/>
  <c r="AE17" i="128"/>
  <c r="AE17" i="127"/>
  <c r="Q9" i="130"/>
  <c r="Q11" i="132"/>
  <c r="AD9" i="129"/>
  <c r="F28" i="127"/>
  <c r="Q9" i="131"/>
  <c r="AD9" i="128"/>
  <c r="AD9" i="127"/>
  <c r="R19" i="130" l="1"/>
  <c r="AE17" i="129"/>
  <c r="S28" i="130"/>
  <c r="R19" i="132"/>
  <c r="R19" i="131"/>
  <c r="AE19" i="128"/>
  <c r="AE19" i="127"/>
  <c r="Q11" i="130"/>
  <c r="Q11" i="131"/>
  <c r="AD11" i="129"/>
  <c r="AD11" i="128"/>
  <c r="Q13" i="132"/>
  <c r="AD11" i="127"/>
  <c r="R21" i="130" l="1"/>
  <c r="AE19" i="129"/>
  <c r="R21" i="132"/>
  <c r="R21" i="131"/>
  <c r="AE21" i="128"/>
  <c r="AE21" i="127"/>
  <c r="Q13" i="130"/>
  <c r="AD13" i="127"/>
  <c r="AD13" i="128"/>
  <c r="Q15" i="132"/>
  <c r="AD13" i="129"/>
  <c r="Q13" i="131"/>
  <c r="R23" i="130" l="1"/>
  <c r="AE21" i="129"/>
  <c r="R23" i="132"/>
  <c r="R23" i="131"/>
  <c r="AE23" i="128"/>
  <c r="AE23" i="127"/>
  <c r="Q15" i="130"/>
  <c r="Q15" i="131"/>
  <c r="AD15" i="127"/>
  <c r="AD15" i="129"/>
  <c r="AD15" i="128"/>
  <c r="Q17" i="132"/>
  <c r="R25" i="130" l="1"/>
  <c r="AE23" i="129"/>
  <c r="R25" i="132"/>
  <c r="S28" i="132"/>
  <c r="R25" i="131"/>
  <c r="S28" i="131"/>
  <c r="AE25" i="128"/>
  <c r="AF28" i="128"/>
  <c r="AF28" i="127"/>
  <c r="AE25" i="127"/>
  <c r="Q17" i="130"/>
  <c r="AD17" i="129"/>
  <c r="AD17" i="127"/>
  <c r="Q19" i="132"/>
  <c r="AD17" i="128"/>
  <c r="Q17" i="131"/>
  <c r="AE25" i="129" l="1"/>
  <c r="Q19" i="130"/>
  <c r="Q19" i="131"/>
  <c r="AD19" i="129"/>
  <c r="Q21" i="132"/>
  <c r="AD19" i="128"/>
  <c r="AD19" i="127"/>
  <c r="Q21" i="130" l="1"/>
  <c r="Q28" i="130"/>
  <c r="AD21" i="129"/>
  <c r="AD21" i="127"/>
  <c r="AD21" i="128"/>
  <c r="Q23" i="132"/>
  <c r="Q21" i="131"/>
  <c r="Q23" i="130" l="1"/>
  <c r="AD23" i="127"/>
  <c r="Q23" i="131"/>
  <c r="R28" i="131" s="1"/>
  <c r="AD23" i="129"/>
  <c r="Q25" i="132"/>
  <c r="AD23" i="128"/>
  <c r="AE28" i="128" s="1"/>
  <c r="R28" i="130" l="1"/>
  <c r="Q25" i="130"/>
  <c r="Q28" i="132"/>
  <c r="Q25" i="131"/>
  <c r="AD25" i="129"/>
  <c r="AD25" i="127"/>
  <c r="AD25" i="128"/>
  <c r="Q28" i="131" l="1"/>
  <c r="AD28" i="128"/>
  <c r="AD28" i="127"/>
  <c r="AE28" i="127" l="1"/>
</calcChain>
</file>

<file path=xl/sharedStrings.xml><?xml version="1.0" encoding="utf-8"?>
<sst xmlns="http://schemas.openxmlformats.org/spreadsheetml/2006/main" count="416" uniqueCount="70">
  <si>
    <t>2008</t>
  </si>
  <si>
    <t>Domestic</t>
  </si>
  <si>
    <t>Imports</t>
  </si>
  <si>
    <t>Combined</t>
  </si>
  <si>
    <t>% change</t>
  </si>
  <si>
    <t>Region 1</t>
  </si>
  <si>
    <t>Region 2</t>
  </si>
  <si>
    <t>Region 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</si>
  <si>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</si>
  <si>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</si>
  <si>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</si>
  <si>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</si>
  <si>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</si>
  <si>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</si>
  <si>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</si>
  <si>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</si>
  <si>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</si>
  <si>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</si>
  <si>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</si>
  <si>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</si>
  <si>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</si>
  <si>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</si>
  <si>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2009</t>
  </si>
  <si>
    <t>2010</t>
  </si>
  <si>
    <t>2011</t>
  </si>
  <si>
    <t>2012</t>
  </si>
  <si>
    <t xml:space="preserve">            January through March numbers do not reflect additional pounds reported due to improved collections and proper handler report reporting.</t>
  </si>
  <si>
    <t xml:space="preserve">            2001 is an estimate based on nine months shown compared to same nine months from the year before</t>
  </si>
  <si>
    <t>Notes:  Pounds calculated on collected and projected assessments. May change monthly due to actual pounds subsequently collected.</t>
  </si>
  <si>
    <t>TOTAL:</t>
  </si>
  <si>
    <t>DECEMBER</t>
  </si>
  <si>
    <t>Cumulative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</si>
  <si>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</si>
  <si>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</si>
  <si>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</si>
  <si>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</si>
  <si>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</si>
  <si>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</si>
  <si>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</si>
  <si>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</si>
  <si>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</si>
  <si>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</si>
  <si>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</si>
  <si>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2016</t>
  </si>
  <si>
    <t>2015</t>
  </si>
  <si>
    <t>2014</t>
  </si>
  <si>
    <t>2013</t>
  </si>
  <si>
    <t>Mushroom Council</t>
  </si>
  <si>
    <t>*Pounds calculated on assessments collected for imports by the U.S. Customs Service</t>
  </si>
  <si>
    <t>Import Volume Fresh Mushrooms (millions of pounds)</t>
  </si>
  <si>
    <t>2017</t>
  </si>
  <si>
    <t>2018</t>
  </si>
  <si>
    <t>** 2018 projected based on YTD growth rate</t>
  </si>
  <si>
    <t>**2018 projected based on YTD growth rate</t>
  </si>
  <si>
    <t>** Projected  based on YTD '18 growth rate</t>
  </si>
  <si>
    <t>2019</t>
  </si>
  <si>
    <t>2020</t>
  </si>
  <si>
    <t>*Projected</t>
  </si>
  <si>
    <t>2021</t>
  </si>
  <si>
    <t>Covid pandemic</t>
  </si>
  <si>
    <t>Covid Pandemic</t>
  </si>
  <si>
    <t>Region 3 Volume Fresh Mushrooms (millions of pounds) - Includes Exempt</t>
  </si>
  <si>
    <t>Region 2 Volume Fresh Mushrooms (millions of pounds) - Includes Exempt</t>
  </si>
  <si>
    <t>Region 1 Volume Fresh Mushrooms (millions of pounds) - Includes Exempt</t>
  </si>
  <si>
    <t>Estimated Domestic Fresh Mushroom Volume (millions of pounds) - Includes Exempt</t>
  </si>
  <si>
    <t>Estimated Domestic &amp; Imported Fresh Mushroom Volume (millions of pounds) - Includes Exempt</t>
  </si>
  <si>
    <t>2022</t>
  </si>
  <si>
    <t>2023</t>
  </si>
  <si>
    <t>2024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</si>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</sst>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;\-#,##0"/>
    <numFmt numFmtId="166" formatCode="_(* #,##0_);_(* \(#,##0\);_(* &quot;-&quot;??_);_(@_)"/>
    <numFmt numFmtId="167" formatCode="#,##0.0000"/>
    <numFmt numFmtId="168" formatCode="#,##0.0"/>
    <numFmt numFmtId="169" formatCode="[$-409]mmm\-yy;@"/>
    <numFmt numFmtId="173" formatCode="0.000"/>
    <numFmt numFmtId="174" formatCode="#,##0.000"/>
    <numFmt numFmtId="176" formatCode="_(* #,##0.00000_);_(* \(#,##0.00000\);_(* &quot;-&quot;??_);_(@_)"/>
    <numFmt numFmtId="177" formatCode="#,##0.00000"/>
    <numFmt numFmtId="178" formatCode="0.00000"/>
    <numFmt numFmtId="180" formatCode="0.0"/>
    <numFmt numFmtId="181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name val="Calibri"/>
      <family val="2"/>
    </font>
    <font>
      <sz val="10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i/>
      <sz val="9.5"/>
      <name val="Arial Narrow"/>
      <family val="2"/>
    </font>
    <font>
      <b/>
      <sz val="9.5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sz val="9.5"/>
      <color indexed="8"/>
      <name val="Arial Narrow"/>
      <family val="2"/>
    </font>
    <font>
      <sz val="11"/>
      <color indexed="8"/>
      <name val="Arial Narrow"/>
      <family val="2"/>
    </font>
    <font>
      <sz val="12"/>
      <name val="Arial Narrow"/>
      <family val="2"/>
    </font>
    <font>
      <sz val="9.5"/>
      <name val="Arial"/>
      <family val="2"/>
    </font>
    <font>
      <b/>
      <sz val="16"/>
      <name val="Arial Narrow"/>
      <family val="2"/>
    </font>
    <font>
      <b/>
      <i/>
      <sz val="10"/>
      <name val="Arial Narrow"/>
      <family val="2"/>
    </font>
    <font>
      <sz val="8"/>
      <color indexed="8"/>
      <name val="Arial Narrow"/>
      <family val="2"/>
    </font>
    <font>
      <sz val="10"/>
      <color theme="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169" fontId="6" fillId="0" borderId="0"/>
    <xf numFmtId="44" fontId="6" fillId="0" borderId="0" applyFont="0" applyFill="0" applyBorder="0" applyAlignment="0" applyProtection="0"/>
    <xf numFmtId="169" fontId="10" fillId="0" borderId="0"/>
    <xf numFmtId="169" fontId="4" fillId="0" borderId="0"/>
    <xf numFmtId="0" fontId="4" fillId="0" borderId="0"/>
    <xf numFmtId="43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6" fillId="0" borderId="0"/>
    <xf numFmtId="169" fontId="6" fillId="0" borderId="0"/>
    <xf numFmtId="0" fontId="6" fillId="0" borderId="0"/>
    <xf numFmtId="0" fontId="3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169" fontId="6" fillId="0" borderId="0" xfId="3"/>
    <xf numFmtId="43" fontId="6" fillId="0" borderId="0" xfId="8"/>
    <xf numFmtId="176" fontId="6" fillId="0" borderId="0" xfId="8" applyNumberFormat="1"/>
    <xf numFmtId="2" fontId="6" fillId="0" borderId="0" xfId="3" applyNumberFormat="1"/>
    <xf numFmtId="169" fontId="6" fillId="0" borderId="0" xfId="3" applyAlignment="1">
      <alignment horizontal="right"/>
    </xf>
    <xf numFmtId="17" fontId="6" fillId="0" borderId="0" xfId="3" applyNumberFormat="1" applyAlignment="1">
      <alignment horizontal="right"/>
    </xf>
    <xf numFmtId="9" fontId="6" fillId="0" borderId="0" xfId="3" applyNumberFormat="1"/>
    <xf numFmtId="10" fontId="13" fillId="0" borderId="0" xfId="3" applyNumberFormat="1" applyFont="1"/>
    <xf numFmtId="43" fontId="13" fillId="0" borderId="0" xfId="8" applyFont="1"/>
    <xf numFmtId="169" fontId="13" fillId="0" borderId="0" xfId="3" applyFont="1"/>
    <xf numFmtId="9" fontId="12" fillId="0" borderId="0" xfId="3" applyNumberFormat="1" applyFont="1"/>
    <xf numFmtId="4" fontId="14" fillId="2" borderId="2" xfId="3" applyNumberFormat="1" applyFont="1" applyFill="1" applyBorder="1"/>
    <xf numFmtId="3" fontId="15" fillId="2" borderId="8" xfId="3" applyNumberFormat="1" applyFont="1" applyFill="1" applyBorder="1" applyAlignment="1">
      <alignment horizontal="right"/>
    </xf>
    <xf numFmtId="10" fontId="6" fillId="0" borderId="0" xfId="17" applyNumberFormat="1"/>
    <xf numFmtId="3" fontId="14" fillId="2" borderId="2" xfId="3" applyNumberFormat="1" applyFont="1" applyFill="1" applyBorder="1"/>
    <xf numFmtId="10" fontId="6" fillId="0" borderId="0" xfId="3" applyNumberFormat="1"/>
    <xf numFmtId="169" fontId="17" fillId="0" borderId="0" xfId="3" applyFont="1"/>
    <xf numFmtId="166" fontId="6" fillId="0" borderId="0" xfId="8" applyNumberFormat="1"/>
    <xf numFmtId="2" fontId="18" fillId="0" borderId="0" xfId="3" applyNumberFormat="1" applyFont="1"/>
    <xf numFmtId="2" fontId="19" fillId="0" borderId="0" xfId="3" applyNumberFormat="1" applyFont="1"/>
    <xf numFmtId="169" fontId="6" fillId="0" borderId="0" xfId="10"/>
    <xf numFmtId="3" fontId="6" fillId="0" borderId="0" xfId="12" applyNumberFormat="1"/>
    <xf numFmtId="3" fontId="6" fillId="0" borderId="0" xfId="10" applyNumberFormat="1"/>
    <xf numFmtId="4" fontId="11" fillId="0" borderId="0" xfId="3" applyNumberFormat="1" applyFont="1" applyAlignment="1">
      <alignment horizontal="center"/>
    </xf>
    <xf numFmtId="4" fontId="11" fillId="0" borderId="0" xfId="3" applyNumberFormat="1" applyFont="1"/>
    <xf numFmtId="173" fontId="11" fillId="0" borderId="0" xfId="3" applyNumberFormat="1" applyFont="1"/>
    <xf numFmtId="174" fontId="11" fillId="0" borderId="0" xfId="3" applyNumberFormat="1" applyFont="1" applyAlignment="1">
      <alignment horizontal="center"/>
    </xf>
    <xf numFmtId="174" fontId="11" fillId="0" borderId="0" xfId="3" applyNumberFormat="1" applyFont="1"/>
    <xf numFmtId="177" fontId="11" fillId="0" borderId="0" xfId="3" applyNumberFormat="1" applyFont="1" applyAlignment="1">
      <alignment horizontal="center"/>
    </xf>
    <xf numFmtId="167" fontId="11" fillId="0" borderId="0" xfId="3" applyNumberFormat="1" applyFont="1" applyAlignment="1">
      <alignment horizontal="center"/>
    </xf>
    <xf numFmtId="2" fontId="6" fillId="0" borderId="0" xfId="10" applyNumberFormat="1"/>
    <xf numFmtId="3" fontId="9" fillId="0" borderId="0" xfId="10" applyNumberFormat="1" applyFont="1"/>
    <xf numFmtId="169" fontId="9" fillId="0" borderId="0" xfId="10" quotePrefix="1" applyFont="1"/>
    <xf numFmtId="3" fontId="8" fillId="0" borderId="0" xfId="10" applyNumberFormat="1" applyFont="1"/>
    <xf numFmtId="169" fontId="9" fillId="0" borderId="0" xfId="10" applyFont="1"/>
    <xf numFmtId="169" fontId="6" fillId="0" borderId="0" xfId="11"/>
    <xf numFmtId="0" fontId="11" fillId="0" borderId="0" xfId="12" applyFont="1" applyAlignment="1">
      <alignment horizontal="left" vertical="center"/>
    </xf>
    <xf numFmtId="1" fontId="6" fillId="0" borderId="0" xfId="11" applyNumberFormat="1"/>
    <xf numFmtId="1" fontId="7" fillId="0" borderId="0" xfId="11" applyNumberFormat="1" applyFont="1"/>
    <xf numFmtId="165" fontId="7" fillId="0" borderId="0" xfId="11" applyNumberFormat="1" applyFont="1"/>
    <xf numFmtId="169" fontId="9" fillId="0" borderId="0" xfId="10" applyFont="1" applyAlignment="1">
      <alignment horizontal="center"/>
    </xf>
    <xf numFmtId="1" fontId="9" fillId="0" borderId="0" xfId="11" applyNumberFormat="1" applyFont="1" applyAlignment="1">
      <alignment horizontal="center"/>
    </xf>
    <xf numFmtId="169" fontId="9" fillId="0" borderId="0" xfId="11" applyFont="1" applyAlignment="1">
      <alignment horizontal="center"/>
    </xf>
    <xf numFmtId="169" fontId="9" fillId="0" borderId="0" xfId="3" applyFont="1" applyAlignment="1">
      <alignment horizontal="center"/>
    </xf>
    <xf numFmtId="180" fontId="14" fillId="2" borderId="2" xfId="3" applyNumberFormat="1" applyFont="1" applyFill="1" applyBorder="1"/>
    <xf numFmtId="180" fontId="14" fillId="2" borderId="8" xfId="3" applyNumberFormat="1" applyFont="1" applyFill="1" applyBorder="1"/>
    <xf numFmtId="180" fontId="16" fillId="2" borderId="8" xfId="3" applyNumberFormat="1" applyFont="1" applyFill="1" applyBorder="1"/>
    <xf numFmtId="169" fontId="13" fillId="0" borderId="8" xfId="3" applyFont="1" applyBorder="1" applyAlignment="1">
      <alignment horizontal="left"/>
    </xf>
    <xf numFmtId="3" fontId="13" fillId="0" borderId="2" xfId="3" applyNumberFormat="1" applyFont="1" applyBorder="1" applyAlignment="1">
      <alignment horizontal="left"/>
    </xf>
    <xf numFmtId="180" fontId="13" fillId="0" borderId="2" xfId="3" applyNumberFormat="1" applyFont="1" applyBorder="1" applyAlignment="1">
      <alignment horizontal="left"/>
    </xf>
    <xf numFmtId="180" fontId="13" fillId="0" borderId="8" xfId="3" applyNumberFormat="1" applyFont="1" applyBorder="1" applyAlignment="1">
      <alignment horizontal="left"/>
    </xf>
    <xf numFmtId="180" fontId="13" fillId="0" borderId="9" xfId="3" applyNumberFormat="1" applyFont="1" applyBorder="1" applyAlignment="1">
      <alignment horizontal="left"/>
    </xf>
    <xf numFmtId="169" fontId="6" fillId="0" borderId="0" xfId="3" applyAlignment="1">
      <alignment horizontal="left"/>
    </xf>
    <xf numFmtId="180" fontId="24" fillId="0" borderId="8" xfId="3" applyNumberFormat="1" applyFont="1" applyBorder="1" applyAlignment="1">
      <alignment horizontal="left"/>
    </xf>
    <xf numFmtId="180" fontId="13" fillId="0" borderId="5" xfId="3" applyNumberFormat="1" applyFont="1" applyBorder="1" applyAlignment="1">
      <alignment horizontal="left"/>
    </xf>
    <xf numFmtId="43" fontId="6" fillId="0" borderId="0" xfId="8" applyFont="1" applyAlignment="1">
      <alignment horizontal="left"/>
    </xf>
    <xf numFmtId="4" fontId="13" fillId="0" borderId="2" xfId="3" applyNumberFormat="1" applyFont="1" applyBorder="1" applyAlignment="1">
      <alignment horizontal="left"/>
    </xf>
    <xf numFmtId="169" fontId="13" fillId="0" borderId="10" xfId="3" applyFont="1" applyBorder="1" applyAlignment="1">
      <alignment horizontal="left"/>
    </xf>
    <xf numFmtId="4" fontId="13" fillId="0" borderId="3" xfId="3" applyNumberFormat="1" applyFont="1" applyBorder="1" applyAlignment="1">
      <alignment horizontal="left"/>
    </xf>
    <xf numFmtId="180" fontId="13" fillId="0" borderId="3" xfId="3" applyNumberFormat="1" applyFont="1" applyBorder="1" applyAlignment="1">
      <alignment horizontal="left"/>
    </xf>
    <xf numFmtId="180" fontId="13" fillId="0" borderId="10" xfId="3" applyNumberFormat="1" applyFont="1" applyBorder="1" applyAlignment="1">
      <alignment horizontal="left"/>
    </xf>
    <xf numFmtId="43" fontId="6" fillId="0" borderId="0" xfId="8" applyFont="1"/>
    <xf numFmtId="49" fontId="9" fillId="5" borderId="10" xfId="3" applyNumberFormat="1" applyFont="1" applyFill="1" applyBorder="1" applyAlignment="1">
      <alignment horizontal="center"/>
    </xf>
    <xf numFmtId="169" fontId="26" fillId="0" borderId="0" xfId="3" applyFont="1"/>
    <xf numFmtId="10" fontId="23" fillId="0" borderId="0" xfId="3" applyNumberFormat="1" applyFont="1"/>
    <xf numFmtId="16" fontId="26" fillId="0" borderId="0" xfId="3" applyNumberFormat="1" applyFont="1"/>
    <xf numFmtId="10" fontId="27" fillId="0" borderId="0" xfId="3" applyNumberFormat="1" applyFont="1" applyAlignment="1">
      <alignment horizontal="left"/>
    </xf>
    <xf numFmtId="169" fontId="27" fillId="0" borderId="0" xfId="3" applyFont="1" applyAlignment="1">
      <alignment horizontal="left"/>
    </xf>
    <xf numFmtId="10" fontId="27" fillId="0" borderId="0" xfId="3" applyNumberFormat="1" applyFont="1"/>
    <xf numFmtId="169" fontId="27" fillId="0" borderId="0" xfId="3" applyFont="1"/>
    <xf numFmtId="180" fontId="24" fillId="0" borderId="5" xfId="3" applyNumberFormat="1" applyFont="1" applyBorder="1" applyAlignment="1">
      <alignment horizontal="left"/>
    </xf>
    <xf numFmtId="43" fontId="27" fillId="0" borderId="0" xfId="8" applyFont="1" applyAlignment="1">
      <alignment horizontal="left"/>
    </xf>
    <xf numFmtId="169" fontId="9" fillId="5" borderId="1" xfId="3" applyFont="1" applyFill="1" applyBorder="1" applyAlignment="1">
      <alignment horizontal="center"/>
    </xf>
    <xf numFmtId="49" fontId="9" fillId="5" borderId="3" xfId="3" applyNumberFormat="1" applyFont="1" applyFill="1" applyBorder="1" applyAlignment="1">
      <alignment horizontal="center"/>
    </xf>
    <xf numFmtId="3" fontId="14" fillId="2" borderId="8" xfId="3" applyNumberFormat="1" applyFont="1" applyFill="1" applyBorder="1"/>
    <xf numFmtId="4" fontId="14" fillId="2" borderId="8" xfId="3" applyNumberFormat="1" applyFont="1" applyFill="1" applyBorder="1"/>
    <xf numFmtId="169" fontId="9" fillId="0" borderId="0" xfId="3" applyFont="1"/>
    <xf numFmtId="9" fontId="9" fillId="0" borderId="0" xfId="17" applyFont="1" applyFill="1"/>
    <xf numFmtId="3" fontId="13" fillId="0" borderId="9" xfId="3" applyNumberFormat="1" applyFont="1" applyBorder="1" applyAlignment="1">
      <alignment horizontal="left"/>
    </xf>
    <xf numFmtId="2" fontId="17" fillId="0" borderId="0" xfId="3" applyNumberFormat="1" applyFont="1" applyAlignment="1">
      <alignment horizontal="left"/>
    </xf>
    <xf numFmtId="166" fontId="6" fillId="0" borderId="0" xfId="8" applyNumberFormat="1" applyFont="1" applyAlignment="1">
      <alignment horizontal="left"/>
    </xf>
    <xf numFmtId="3" fontId="13" fillId="0" borderId="8" xfId="3" applyNumberFormat="1" applyFont="1" applyBorder="1" applyAlignment="1">
      <alignment horizontal="left"/>
    </xf>
    <xf numFmtId="4" fontId="13" fillId="0" borderId="8" xfId="3" applyNumberFormat="1" applyFont="1" applyBorder="1" applyAlignment="1">
      <alignment horizontal="left"/>
    </xf>
    <xf numFmtId="2" fontId="25" fillId="0" borderId="0" xfId="3" applyNumberFormat="1" applyFont="1" applyAlignment="1">
      <alignment horizontal="left"/>
    </xf>
    <xf numFmtId="4" fontId="13" fillId="0" borderId="10" xfId="3" applyNumberFormat="1" applyFont="1" applyBorder="1" applyAlignment="1">
      <alignment horizontal="left"/>
    </xf>
    <xf numFmtId="168" fontId="13" fillId="0" borderId="4" xfId="3" applyNumberFormat="1" applyFont="1" applyBorder="1" applyAlignment="1">
      <alignment horizontal="left"/>
    </xf>
    <xf numFmtId="168" fontId="13" fillId="0" borderId="9" xfId="3" applyNumberFormat="1" applyFont="1" applyBorder="1" applyAlignment="1">
      <alignment horizontal="left"/>
    </xf>
    <xf numFmtId="168" fontId="13" fillId="0" borderId="11" xfId="3" applyNumberFormat="1" applyFont="1" applyBorder="1" applyAlignment="1">
      <alignment horizontal="left"/>
    </xf>
    <xf numFmtId="168" fontId="13" fillId="0" borderId="0" xfId="3" applyNumberFormat="1" applyFont="1" applyAlignment="1">
      <alignment horizontal="left"/>
    </xf>
    <xf numFmtId="168" fontId="13" fillId="0" borderId="8" xfId="4" applyNumberFormat="1" applyFont="1" applyBorder="1" applyAlignment="1">
      <alignment horizontal="left"/>
    </xf>
    <xf numFmtId="168" fontId="13" fillId="0" borderId="9" xfId="4" applyNumberFormat="1" applyFont="1" applyBorder="1" applyAlignment="1">
      <alignment horizontal="left"/>
    </xf>
    <xf numFmtId="168" fontId="13" fillId="0" borderId="5" xfId="4" applyNumberFormat="1" applyFont="1" applyBorder="1" applyAlignment="1">
      <alignment horizontal="left"/>
    </xf>
    <xf numFmtId="168" fontId="14" fillId="2" borderId="2" xfId="3" applyNumberFormat="1" applyFont="1" applyFill="1" applyBorder="1"/>
    <xf numFmtId="168" fontId="14" fillId="2" borderId="8" xfId="3" applyNumberFormat="1" applyFont="1" applyFill="1" applyBorder="1"/>
    <xf numFmtId="168" fontId="14" fillId="2" borderId="5" xfId="3" applyNumberFormat="1" applyFont="1" applyFill="1" applyBorder="1"/>
    <xf numFmtId="168" fontId="14" fillId="2" borderId="0" xfId="3" applyNumberFormat="1" applyFont="1" applyFill="1"/>
    <xf numFmtId="168" fontId="14" fillId="2" borderId="8" xfId="4" applyNumberFormat="1" applyFont="1" applyFill="1" applyBorder="1"/>
    <xf numFmtId="168" fontId="13" fillId="0" borderId="2" xfId="3" applyNumberFormat="1" applyFont="1" applyBorder="1" applyAlignment="1">
      <alignment horizontal="left"/>
    </xf>
    <xf numFmtId="168" fontId="13" fillId="0" borderId="8" xfId="3" applyNumberFormat="1" applyFont="1" applyBorder="1" applyAlignment="1">
      <alignment horizontal="left"/>
    </xf>
    <xf numFmtId="168" fontId="13" fillId="0" borderId="5" xfId="3" applyNumberFormat="1" applyFont="1" applyBorder="1" applyAlignment="1">
      <alignment horizontal="left"/>
    </xf>
    <xf numFmtId="168" fontId="24" fillId="0" borderId="0" xfId="3" applyNumberFormat="1" applyFont="1" applyAlignment="1">
      <alignment horizontal="left"/>
    </xf>
    <xf numFmtId="168" fontId="24" fillId="0" borderId="8" xfId="3" applyNumberFormat="1" applyFont="1" applyBorder="1" applyAlignment="1">
      <alignment horizontal="left"/>
    </xf>
    <xf numFmtId="168" fontId="24" fillId="0" borderId="8" xfId="4" applyNumberFormat="1" applyFont="1" applyBorder="1" applyAlignment="1">
      <alignment horizontal="left"/>
    </xf>
    <xf numFmtId="168" fontId="24" fillId="0" borderId="5" xfId="4" applyNumberFormat="1" applyFont="1" applyBorder="1" applyAlignment="1">
      <alignment horizontal="left"/>
    </xf>
    <xf numFmtId="168" fontId="16" fillId="2" borderId="0" xfId="3" applyNumberFormat="1" applyFont="1" applyFill="1"/>
    <xf numFmtId="168" fontId="16" fillId="2" borderId="8" xfId="3" applyNumberFormat="1" applyFont="1" applyFill="1" applyBorder="1"/>
    <xf numFmtId="168" fontId="16" fillId="2" borderId="8" xfId="4" applyNumberFormat="1" applyFont="1" applyFill="1" applyBorder="1"/>
    <xf numFmtId="168" fontId="13" fillId="0" borderId="3" xfId="3" applyNumberFormat="1" applyFont="1" applyBorder="1" applyAlignment="1">
      <alignment horizontal="left"/>
    </xf>
    <xf numFmtId="168" fontId="13" fillId="0" borderId="10" xfId="3" applyNumberFormat="1" applyFont="1" applyBorder="1" applyAlignment="1">
      <alignment horizontal="left"/>
    </xf>
    <xf numFmtId="168" fontId="13" fillId="0" borderId="6" xfId="3" applyNumberFormat="1" applyFont="1" applyBorder="1" applyAlignment="1">
      <alignment horizontal="left"/>
    </xf>
    <xf numFmtId="168" fontId="13" fillId="0" borderId="10" xfId="4" applyNumberFormat="1" applyFont="1" applyBorder="1" applyAlignment="1">
      <alignment horizontal="left"/>
    </xf>
    <xf numFmtId="181" fontId="27" fillId="0" borderId="0" xfId="3" applyNumberFormat="1" applyFont="1"/>
    <xf numFmtId="169" fontId="12" fillId="0" borderId="8" xfId="3" applyFont="1" applyBorder="1" applyAlignment="1">
      <alignment horizontal="left"/>
    </xf>
    <xf numFmtId="3" fontId="29" fillId="2" borderId="8" xfId="3" applyNumberFormat="1" applyFont="1" applyFill="1" applyBorder="1" applyAlignment="1">
      <alignment horizontal="right"/>
    </xf>
    <xf numFmtId="169" fontId="12" fillId="0" borderId="10" xfId="3" applyFont="1" applyBorder="1" applyAlignment="1">
      <alignment horizontal="left"/>
    </xf>
    <xf numFmtId="169" fontId="12" fillId="0" borderId="0" xfId="3" applyFont="1" applyAlignment="1">
      <alignment horizontal="right"/>
    </xf>
    <xf numFmtId="169" fontId="6" fillId="0" borderId="0" xfId="10" applyAlignment="1">
      <alignment horizontal="left"/>
    </xf>
    <xf numFmtId="180" fontId="13" fillId="0" borderId="8" xfId="4" applyNumberFormat="1" applyFont="1" applyBorder="1" applyAlignment="1">
      <alignment horizontal="left"/>
    </xf>
    <xf numFmtId="180" fontId="13" fillId="0" borderId="9" xfId="4" applyNumberFormat="1" applyFont="1" applyBorder="1" applyAlignment="1">
      <alignment horizontal="left"/>
    </xf>
    <xf numFmtId="180" fontId="13" fillId="0" borderId="5" xfId="4" applyNumberFormat="1" applyFont="1" applyBorder="1" applyAlignment="1">
      <alignment horizontal="left"/>
    </xf>
    <xf numFmtId="180" fontId="14" fillId="2" borderId="8" xfId="4" applyNumberFormat="1" applyFont="1" applyFill="1" applyBorder="1"/>
    <xf numFmtId="180" fontId="24" fillId="0" borderId="8" xfId="4" applyNumberFormat="1" applyFont="1" applyBorder="1" applyAlignment="1">
      <alignment horizontal="left"/>
    </xf>
    <xf numFmtId="180" fontId="24" fillId="0" borderId="5" xfId="4" applyNumberFormat="1" applyFont="1" applyBorder="1" applyAlignment="1">
      <alignment horizontal="left"/>
    </xf>
    <xf numFmtId="180" fontId="16" fillId="2" borderId="8" xfId="4" applyNumberFormat="1" applyFont="1" applyFill="1" applyBorder="1"/>
    <xf numFmtId="180" fontId="13" fillId="0" borderId="8" xfId="4" applyNumberFormat="1" applyFont="1" applyFill="1" applyBorder="1" applyAlignment="1">
      <alignment horizontal="left"/>
    </xf>
    <xf numFmtId="180" fontId="13" fillId="0" borderId="10" xfId="4" applyNumberFormat="1" applyFont="1" applyBorder="1" applyAlignment="1">
      <alignment horizontal="left"/>
    </xf>
    <xf numFmtId="168" fontId="13" fillId="0" borderId="2" xfId="4" applyNumberFormat="1" applyFont="1" applyBorder="1" applyAlignment="1">
      <alignment horizontal="left"/>
    </xf>
    <xf numFmtId="168" fontId="14" fillId="2" borderId="2" xfId="4" applyNumberFormat="1" applyFont="1" applyFill="1" applyBorder="1"/>
    <xf numFmtId="168" fontId="24" fillId="0" borderId="2" xfId="4" applyNumberFormat="1" applyFont="1" applyBorder="1" applyAlignment="1">
      <alignment horizontal="left"/>
    </xf>
    <xf numFmtId="168" fontId="13" fillId="0" borderId="3" xfId="4" applyNumberFormat="1" applyFont="1" applyBorder="1" applyAlignment="1">
      <alignment horizontal="left"/>
    </xf>
    <xf numFmtId="169" fontId="21" fillId="5" borderId="9" xfId="3" applyFont="1" applyFill="1" applyBorder="1" applyAlignment="1">
      <alignment horizontal="center"/>
    </xf>
    <xf numFmtId="181" fontId="13" fillId="0" borderId="9" xfId="3" applyNumberFormat="1" applyFont="1" applyBorder="1" applyAlignment="1">
      <alignment horizontal="left"/>
    </xf>
    <xf numFmtId="181" fontId="14" fillId="3" borderId="8" xfId="3" applyNumberFormat="1" applyFont="1" applyFill="1" applyBorder="1"/>
    <xf numFmtId="181" fontId="13" fillId="0" borderId="8" xfId="3" applyNumberFormat="1" applyFont="1" applyBorder="1" applyAlignment="1">
      <alignment horizontal="left"/>
    </xf>
    <xf numFmtId="181" fontId="13" fillId="0" borderId="10" xfId="3" applyNumberFormat="1" applyFont="1" applyBorder="1" applyAlignment="1">
      <alignment horizontal="left"/>
    </xf>
    <xf numFmtId="180" fontId="24" fillId="0" borderId="2" xfId="3" applyNumberFormat="1" applyFont="1" applyBorder="1" applyAlignment="1">
      <alignment horizontal="left"/>
    </xf>
    <xf numFmtId="169" fontId="12" fillId="6" borderId="10" xfId="3" applyFont="1" applyFill="1" applyBorder="1" applyAlignment="1">
      <alignment horizontal="right"/>
    </xf>
    <xf numFmtId="169" fontId="13" fillId="6" borderId="10" xfId="3" applyFont="1" applyFill="1" applyBorder="1" applyAlignment="1">
      <alignment horizontal="right"/>
    </xf>
    <xf numFmtId="49" fontId="14" fillId="6" borderId="10" xfId="3" applyNumberFormat="1" applyFont="1" applyFill="1" applyBorder="1" applyAlignment="1">
      <alignment horizontal="center"/>
    </xf>
    <xf numFmtId="169" fontId="14" fillId="6" borderId="7" xfId="3" applyFont="1" applyFill="1" applyBorder="1" applyAlignment="1">
      <alignment horizontal="center"/>
    </xf>
    <xf numFmtId="173" fontId="11" fillId="0" borderId="0" xfId="3" applyNumberFormat="1" applyFont="1" applyAlignment="1">
      <alignment horizontal="left"/>
    </xf>
    <xf numFmtId="4" fontId="11" fillId="0" borderId="0" xfId="3" applyNumberFormat="1" applyFont="1" applyAlignment="1">
      <alignment horizontal="left"/>
    </xf>
    <xf numFmtId="174" fontId="11" fillId="0" borderId="0" xfId="3" applyNumberFormat="1" applyFont="1" applyAlignment="1">
      <alignment horizontal="left"/>
    </xf>
    <xf numFmtId="178" fontId="11" fillId="0" borderId="0" xfId="3" applyNumberFormat="1" applyFont="1" applyAlignment="1">
      <alignment horizontal="left"/>
    </xf>
    <xf numFmtId="3" fontId="6" fillId="0" borderId="0" xfId="12" applyNumberFormat="1" applyAlignment="1">
      <alignment horizontal="left"/>
    </xf>
    <xf numFmtId="3" fontId="6" fillId="0" borderId="0" xfId="10" applyNumberFormat="1" applyAlignment="1">
      <alignment horizontal="left"/>
    </xf>
    <xf numFmtId="3" fontId="29" fillId="6" borderId="7" xfId="3" applyNumberFormat="1" applyFont="1" applyFill="1" applyBorder="1" applyAlignment="1">
      <alignment horizontal="right"/>
    </xf>
    <xf numFmtId="4" fontId="14" fillId="6" borderId="7" xfId="3" applyNumberFormat="1" applyFont="1" applyFill="1" applyBorder="1"/>
    <xf numFmtId="180" fontId="14" fillId="6" borderId="7" xfId="3" applyNumberFormat="1" applyFont="1" applyFill="1" applyBorder="1"/>
    <xf numFmtId="180" fontId="14" fillId="6" borderId="7" xfId="3" applyNumberFormat="1" applyFont="1" applyFill="1" applyBorder="1" applyAlignment="1">
      <alignment horizontal="right"/>
    </xf>
    <xf numFmtId="10" fontId="14" fillId="6" borderId="7" xfId="3" applyNumberFormat="1" applyFont="1" applyFill="1" applyBorder="1"/>
    <xf numFmtId="169" fontId="21" fillId="6" borderId="6" xfId="3" applyFont="1" applyFill="1" applyBorder="1" applyAlignment="1">
      <alignment horizontal="center"/>
    </xf>
    <xf numFmtId="169" fontId="21" fillId="6" borderId="10" xfId="3" quotePrefix="1" applyFont="1" applyFill="1" applyBorder="1" applyAlignment="1">
      <alignment horizontal="center"/>
    </xf>
    <xf numFmtId="49" fontId="21" fillId="6" borderId="10" xfId="3" applyNumberFormat="1" applyFont="1" applyFill="1" applyBorder="1" applyAlignment="1">
      <alignment horizontal="center"/>
    </xf>
    <xf numFmtId="49" fontId="21" fillId="6" borderId="3" xfId="3" applyNumberFormat="1" applyFont="1" applyFill="1" applyBorder="1" applyAlignment="1">
      <alignment horizontal="center"/>
    </xf>
    <xf numFmtId="49" fontId="21" fillId="6" borderId="7" xfId="3" applyNumberFormat="1" applyFont="1" applyFill="1" applyBorder="1" applyAlignment="1">
      <alignment horizontal="center"/>
    </xf>
    <xf numFmtId="169" fontId="21" fillId="6" borderId="7" xfId="3" applyFont="1" applyFill="1" applyBorder="1" applyAlignment="1">
      <alignment horizontal="center"/>
    </xf>
    <xf numFmtId="169" fontId="21" fillId="4" borderId="0" xfId="3" applyFont="1" applyFill="1" applyAlignment="1">
      <alignment horizontal="right"/>
    </xf>
    <xf numFmtId="169" fontId="14" fillId="4" borderId="0" xfId="3" applyFont="1" applyFill="1"/>
    <xf numFmtId="181" fontId="14" fillId="4" borderId="0" xfId="3" applyNumberFormat="1" applyFont="1" applyFill="1"/>
    <xf numFmtId="181" fontId="14" fillId="4" borderId="0" xfId="19" applyNumberFormat="1" applyFont="1" applyFill="1"/>
    <xf numFmtId="168" fontId="14" fillId="6" borderId="7" xfId="3" applyNumberFormat="1" applyFont="1" applyFill="1" applyBorder="1"/>
    <xf numFmtId="169" fontId="12" fillId="4" borderId="0" xfId="3" applyFont="1" applyFill="1" applyAlignment="1">
      <alignment horizontal="right"/>
    </xf>
    <xf numFmtId="169" fontId="13" fillId="4" borderId="0" xfId="3" applyFont="1" applyFill="1"/>
    <xf numFmtId="181" fontId="13" fillId="4" borderId="0" xfId="3" applyNumberFormat="1" applyFont="1" applyFill="1"/>
    <xf numFmtId="10" fontId="20" fillId="4" borderId="0" xfId="3" applyNumberFormat="1" applyFont="1" applyFill="1"/>
    <xf numFmtId="180" fontId="20" fillId="4" borderId="0" xfId="3" applyNumberFormat="1" applyFont="1" applyFill="1"/>
    <xf numFmtId="49" fontId="21" fillId="6" borderId="10" xfId="3" quotePrefix="1" applyNumberFormat="1" applyFont="1" applyFill="1" applyBorder="1" applyAlignment="1">
      <alignment horizontal="center"/>
    </xf>
    <xf numFmtId="169" fontId="13" fillId="4" borderId="0" xfId="3" applyFont="1" applyFill="1" applyAlignment="1">
      <alignment horizontal="right"/>
    </xf>
    <xf numFmtId="180" fontId="13" fillId="4" borderId="0" xfId="3" applyNumberFormat="1" applyFont="1" applyFill="1"/>
    <xf numFmtId="10" fontId="13" fillId="4" borderId="0" xfId="3" applyNumberFormat="1" applyFont="1" applyFill="1"/>
    <xf numFmtId="49" fontId="23" fillId="6" borderId="10" xfId="3" applyNumberFormat="1" applyFont="1" applyFill="1" applyBorder="1" applyAlignment="1">
      <alignment horizontal="center"/>
    </xf>
    <xf numFmtId="169" fontId="12" fillId="0" borderId="0" xfId="3" applyFont="1" applyAlignment="1">
      <alignment horizontal="left"/>
    </xf>
    <xf numFmtId="169" fontId="22" fillId="0" borderId="0" xfId="10" applyFont="1" applyAlignment="1">
      <alignment horizontal="center"/>
    </xf>
    <xf numFmtId="3" fontId="20" fillId="0" borderId="0" xfId="8" applyNumberFormat="1" applyFont="1"/>
    <xf numFmtId="169" fontId="20" fillId="0" borderId="0" xfId="10" applyFont="1"/>
    <xf numFmtId="3" fontId="20" fillId="0" borderId="0" xfId="10" applyNumberFormat="1" applyFont="1"/>
    <xf numFmtId="3" fontId="20" fillId="0" borderId="0" xfId="14" applyNumberFormat="1" applyFont="1"/>
    <xf numFmtId="49" fontId="20" fillId="0" borderId="0" xfId="10" applyNumberFormat="1" applyFont="1"/>
    <xf numFmtId="3" fontId="20" fillId="0" borderId="0" xfId="11" applyNumberFormat="1" applyFont="1"/>
    <xf numFmtId="0" fontId="20" fillId="0" borderId="0" xfId="10" applyNumberFormat="1" applyFont="1" applyAlignment="1">
      <alignment horizontal="left"/>
    </xf>
    <xf numFmtId="0" fontId="20" fillId="0" borderId="0" xfId="12" applyFont="1"/>
    <xf numFmtId="169" fontId="22" fillId="0" borderId="0" xfId="11" applyFont="1" applyAlignment="1">
      <alignment horizontal="center"/>
    </xf>
    <xf numFmtId="0" fontId="22" fillId="0" borderId="0" xfId="12" applyFont="1" applyAlignment="1">
      <alignment horizontal="center"/>
    </xf>
    <xf numFmtId="0" fontId="22" fillId="0" borderId="0" xfId="12" applyFont="1"/>
    <xf numFmtId="0" fontId="22" fillId="0" borderId="0" xfId="12" applyFont="1" applyAlignment="1">
      <alignment horizontal="right"/>
    </xf>
    <xf numFmtId="49" fontId="22" fillId="0" borderId="0" xfId="11" applyNumberFormat="1" applyFont="1" applyAlignment="1">
      <alignment horizontal="right"/>
    </xf>
    <xf numFmtId="0" fontId="22" fillId="0" borderId="0" xfId="11" applyNumberFormat="1" applyFont="1" applyAlignment="1">
      <alignment horizontal="right"/>
    </xf>
    <xf numFmtId="169" fontId="20" fillId="0" borderId="0" xfId="11" applyFont="1"/>
    <xf numFmtId="3" fontId="20" fillId="0" borderId="0" xfId="8" applyNumberFormat="1" applyFont="1" applyAlignment="1">
      <alignment horizontal="right"/>
    </xf>
    <xf numFmtId="43" fontId="20" fillId="0" borderId="0" xfId="8" applyFont="1"/>
    <xf numFmtId="166" fontId="20" fillId="0" borderId="0" xfId="8" applyNumberFormat="1" applyFont="1"/>
    <xf numFmtId="165" fontId="30" fillId="0" borderId="0" xfId="11" applyNumberFormat="1" applyFont="1"/>
    <xf numFmtId="169" fontId="31" fillId="0" borderId="0" xfId="10" applyFont="1"/>
    <xf numFmtId="169" fontId="6" fillId="5" borderId="10" xfId="3" applyFill="1" applyBorder="1" applyAlignment="1">
      <alignment horizontal="right"/>
    </xf>
    <xf numFmtId="2" fontId="13" fillId="0" borderId="9" xfId="3" applyNumberFormat="1" applyFont="1" applyBorder="1" applyAlignment="1">
      <alignment horizontal="left"/>
    </xf>
    <xf numFmtId="2" fontId="14" fillId="2" borderId="2" xfId="3" applyNumberFormat="1" applyFont="1" applyFill="1" applyBorder="1"/>
    <xf numFmtId="2" fontId="13" fillId="0" borderId="2" xfId="3" applyNumberFormat="1" applyFont="1" applyBorder="1" applyAlignment="1">
      <alignment horizontal="left"/>
    </xf>
    <xf numFmtId="2" fontId="14" fillId="2" borderId="8" xfId="3" applyNumberFormat="1" applyFont="1" applyFill="1" applyBorder="1"/>
    <xf numFmtId="2" fontId="24" fillId="0" borderId="2" xfId="3" applyNumberFormat="1" applyFont="1" applyBorder="1" applyAlignment="1">
      <alignment horizontal="left"/>
    </xf>
    <xf numFmtId="173" fontId="14" fillId="2" borderId="8" xfId="3" applyNumberFormat="1" applyFont="1" applyFill="1" applyBorder="1"/>
    <xf numFmtId="3" fontId="15" fillId="6" borderId="7" xfId="3" applyNumberFormat="1" applyFont="1" applyFill="1" applyBorder="1" applyAlignment="1">
      <alignment horizontal="right"/>
    </xf>
    <xf numFmtId="4" fontId="14" fillId="6" borderId="12" xfId="3" applyNumberFormat="1" applyFont="1" applyFill="1" applyBorder="1"/>
    <xf numFmtId="168" fontId="14" fillId="6" borderId="13" xfId="3" applyNumberFormat="1" applyFont="1" applyFill="1" applyBorder="1"/>
    <xf numFmtId="168" fontId="14" fillId="6" borderId="12" xfId="3" applyNumberFormat="1" applyFont="1" applyFill="1" applyBorder="1"/>
    <xf numFmtId="169" fontId="28" fillId="4" borderId="0" xfId="3" applyFont="1" applyFill="1" applyAlignment="1">
      <alignment horizontal="center"/>
    </xf>
    <xf numFmtId="169" fontId="23" fillId="4" borderId="0" xfId="3" applyFont="1" applyFill="1" applyAlignment="1">
      <alignment horizontal="center"/>
    </xf>
    <xf numFmtId="169" fontId="12" fillId="0" borderId="0" xfId="3" applyFont="1" applyAlignment="1">
      <alignment horizontal="left"/>
    </xf>
    <xf numFmtId="169" fontId="17" fillId="0" borderId="0" xfId="3" applyFont="1" applyAlignment="1">
      <alignment horizontal="left"/>
    </xf>
  </cellXfs>
  <cellStyles count="20">
    <cellStyle name="Comma 2" xfId="2" xr:uid="{00000000-0005-0000-0000-000001000000}"/>
    <cellStyle name="Comma 3" xfId="8" xr:uid="{00000000-0005-0000-0000-000002000000}"/>
    <cellStyle name="Currency 2" xfId="4" xr:uid="{00000000-0005-0000-0000-000004000000}"/>
    <cellStyle name="Normal" xfId="0" builtinId="0"/>
    <cellStyle name="Normal 10" xfId="14" xr:uid="{00000000-0005-0000-0000-000006000000}"/>
    <cellStyle name="Normal 2" xfId="1" xr:uid="{00000000-0005-0000-0000-000007000000}"/>
    <cellStyle name="Normal 2 2" xfId="3" xr:uid="{00000000-0005-0000-0000-000008000000}"/>
    <cellStyle name="Normal 2_Charts" xfId="5" xr:uid="{00000000-0005-0000-0000-000009000000}"/>
    <cellStyle name="Normal 3" xfId="6" xr:uid="{00000000-0005-0000-0000-00000A000000}"/>
    <cellStyle name="Normal 4" xfId="7" xr:uid="{00000000-0005-0000-0000-00000B000000}"/>
    <cellStyle name="Normal 5" xfId="10" xr:uid="{00000000-0005-0000-0000-00000C000000}"/>
    <cellStyle name="Normal 6" xfId="11" xr:uid="{00000000-0005-0000-0000-00000D000000}"/>
    <cellStyle name="Normal 7" xfId="12" xr:uid="{00000000-0005-0000-0000-00000E000000}"/>
    <cellStyle name="Normal 8" xfId="13" xr:uid="{00000000-0005-0000-0000-00000F000000}"/>
    <cellStyle name="Normal 9" xfId="15" xr:uid="{00000000-0005-0000-0000-000010000000}"/>
    <cellStyle name="Percent 2" xfId="9" xr:uid="{00000000-0005-0000-0000-000012000000}"/>
    <cellStyle name="Percent 3" xfId="16" xr:uid="{00000000-0005-0000-0000-000013000000}"/>
    <cellStyle name="Percent 3 2" xfId="18" xr:uid="{00000000-0005-0000-0000-000014000000}"/>
    <cellStyle name="Percent 3 2 2" xfId="19" xr:uid="{00000000-0005-0000-0000-000015000000}"/>
    <cellStyle name="Percent 4" xfId="17" xr:uid="{00000000-0005-0000-0000-000016000000}"/>
  </cellStyles>
  <dxfs count="0"/>
  <tableStyles count="0" defaultTableStyle="TableStyleMedium2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 Shipments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16765704072865E-2"/>
          <c:y val="0.11751890196651327"/>
          <c:w val="0.90002346066484729"/>
          <c:h val="0.7799196008755165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75FA-4A19-8A0D-12D26A2A2947}"/>
              </c:ext>
            </c:extLst>
          </c:dPt>
          <c:dLbls>
            <c:dLbl>
              <c:idx val="0"/>
              <c:layout>
                <c:manualLayout>
                  <c:x val="-1.4533552494634627E-2"/>
                  <c:y val="2.275319674770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FA-4A19-8A0D-12D26A2A2947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A-4A19-8A0D-12D26A2A2947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FA-4A19-8A0D-12D26A2A2947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FA-4A19-8A0D-12D26A2A2947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FA-4A19-8A0D-12D26A2A2947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FA-4A19-8A0D-12D26A2A2947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FA-4A19-8A0D-12D26A2A2947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FA-4A19-8A0D-12D26A2A2947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FA-4A19-8A0D-12D26A2A2947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FA-4A19-8A0D-12D26A2A2947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FA-4A19-8A0D-12D26A2A2947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'Domestic Graph with Exempt'!$A$40:$A$70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'Domestic Graph with Exempt'!$B$40:$B$70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674260000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FA-4A19-8A0D-12D26A2A29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408704"/>
        <c:axId val="138617600"/>
      </c:lineChart>
      <c:catAx>
        <c:axId val="1384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17600"/>
        <c:crosses val="autoZero"/>
        <c:auto val="1"/>
        <c:lblAlgn val="ctr"/>
        <c:lblOffset val="100"/>
        <c:noMultiLvlLbl val="1"/>
      </c:catAx>
      <c:valAx>
        <c:axId val="138617600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408704"/>
        <c:crosses val="autoZero"/>
        <c:crossBetween val="between"/>
        <c:majorUnit val="10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148369000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0-4116-A4C1-1C42C559B469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2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449524000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0-4116-A4C1-1C42C559B469}"/>
            </c:ext>
          </c:extLst>
        </c:ser>
        <c:ser>
          <c:idx val="2"/>
          <c:order val="2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</a:t>
                    </a:r>
                    <a:r>
                      <a:rPr lang="en-US" baseline="0"/>
                      <a:t> 3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B70-4116-A4C1-1C42C559B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75853000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0-4116-A4C1-1C42C559B4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9413760"/>
        <c:axId val="174551040"/>
      </c:areaChart>
      <c:dateAx>
        <c:axId val="1394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551040"/>
        <c:crosses val="autoZero"/>
        <c:auto val="0"/>
        <c:lblOffset val="100"/>
        <c:baseTimeUnit val="days"/>
      </c:dateAx>
      <c:valAx>
        <c:axId val="1745510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1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Imports by Year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07885552767443"/>
          <c:y val="0.14081754296841928"/>
          <c:w val="0.89311239785395857"/>
          <c:h val="0.78394124121581577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77-4F51-BE98-6F0BA6C6E167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7-4F51-BE98-6F0BA6C6E167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77-4F51-BE98-6F0BA6C6E167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7-4F51-BE98-6F0BA6C6E167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7-4F51-BE98-6F0BA6C6E167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7-4F51-BE98-6F0BA6C6E167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7-4F51-BE98-6F0BA6C6E167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 Graph'!$A$40:$A$70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'Import Graph'!$C$40:$C$70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201265000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77-4F51-BE98-6F0BA6C6E1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40224"/>
        <c:axId val="138305920"/>
      </c:lineChart>
      <c:dateAx>
        <c:axId val="136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05920"/>
        <c:crosses val="autoZero"/>
        <c:auto val="0"/>
        <c:lblOffset val="100"/>
        <c:baseTimeUnit val="days"/>
      </c:dateAx>
      <c:valAx>
        <c:axId val="138305920"/>
        <c:scaling>
          <c:orientation val="minMax"/>
          <c:min val="1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674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 Shipments by Year - Includes Exempt 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767095787317511E-2"/>
          <c:y val="0.13246812386156648"/>
          <c:w val="0.90023708574889683"/>
          <c:h val="0.82265088277899689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0686160798976064E-2"/>
                  <c:y val="-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C-4F9B-9263-FDD05F6A357B}"/>
                </c:ext>
              </c:extLst>
            </c:dLbl>
            <c:dLbl>
              <c:idx val="1"/>
              <c:layout>
                <c:manualLayout>
                  <c:x val="-1.7026508465947728E-2"/>
                  <c:y val="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C-4F9B-9263-FDD05F6A357B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C-4F9B-9263-FDD05F6A357B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C-4F9B-9263-FDD05F6A357B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C-4F9B-9263-FDD05F6A357B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C-4F9B-9263-FDD05F6A357B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0C-4F9B-9263-FDD05F6A357B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C-4F9B-9263-FDD05F6A357B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0C-4F9B-9263-FDD05F6A357B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0C-4F9B-9263-FDD05F6A357B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C-4F9B-9263-FDD05F6A357B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C-4F9B-9263-FDD05F6A357B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C-4F9B-9263-FDD05F6A357B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C-4F9B-9263-FDD05F6A357B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0C-4F9B-9263-FDD05F6A357B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'Combined Graph with Exempt'!$A$39:$A$69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'Combined Graph with Exempt'!$D$39:$D$69</c:f>
              <c:numCache>
                <c:formatCode>#,##0</c:formatCode>
                <c:ptCount val="31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  <c:pt idx="30">
                  <c:v>875525000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A0C-4F9B-9263-FDD05F6A3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325376"/>
        <c:axId val="138335360"/>
      </c:lineChart>
      <c:catAx>
        <c:axId val="138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/>
        </c:spPr>
        <c:txPr>
          <a:bodyPr rot="-222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35360"/>
        <c:crosses val="autoZero"/>
        <c:auto val="1"/>
        <c:lblAlgn val="ctr"/>
        <c:lblOffset val="800"/>
        <c:noMultiLvlLbl val="1"/>
      </c:catAx>
      <c:valAx>
        <c:axId val="138335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25376"/>
        <c:crosses val="autoZero"/>
        <c:crossBetween val="between"/>
      </c:valAx>
    </c:plotArea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92624365534077E-2"/>
          <c:y val="0.15268204179395611"/>
          <c:w val="0.88838001807151157"/>
          <c:h val="0.73639591103743607"/>
        </c:manualLayout>
      </c:layout>
      <c:lineChart>
        <c:grouping val="standard"/>
        <c:varyColors val="0"/>
        <c:ser>
          <c:idx val="0"/>
          <c:order val="0"/>
          <c:spPr>
            <a:ln>
              <a:gradFill>
                <a:gsLst>
                  <a:gs pos="0">
                    <a:schemeClr val="tx1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tx1"/>
                  </a:gs>
                </a:gsLst>
                <a:lin ang="5400000" scaled="0"/>
              </a:gradFill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marker>
          <c:dPt>
            <c:idx val="13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1000">
                        <a:schemeClr val="accent1">
                          <a:tint val="44500"/>
                          <a:satMod val="160000"/>
                        </a:schemeClr>
                      </a:gs>
                      <a:gs pos="1000">
                        <a:schemeClr val="tx1"/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933-4433-B56B-A4117E8B0FA9}"/>
              </c:ext>
            </c:extLst>
          </c:dPt>
          <c:dPt>
            <c:idx val="17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tx1"/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933-4433-B56B-A4117E8B0FA9}"/>
              </c:ext>
            </c:extLst>
          </c:dPt>
          <c:dPt>
            <c:idx val="18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33-4433-B56B-A4117E8B0FA9}"/>
              </c:ext>
            </c:extLst>
          </c:dPt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'!$B$82:$B$111</c:f>
              <c:numCache>
                <c:formatCode>#,##0</c:formatCode>
                <c:ptCount val="30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3-4433-B56B-A4117E8B0FA9}"/>
            </c:ext>
          </c:extLst>
        </c:ser>
        <c:ser>
          <c:idx val="1"/>
          <c:order val="1"/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'!$C$82:$C$111</c:f>
              <c:numCache>
                <c:formatCode>#,##0</c:formatCode>
                <c:ptCount val="30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3-4433-B56B-A4117E8B0FA9}"/>
            </c:ext>
          </c:extLst>
        </c:ser>
        <c:ser>
          <c:idx val="2"/>
          <c:order val="2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'!$D$82:$D$111</c:f>
              <c:numCache>
                <c:formatCode>#,##0</c:formatCode>
                <c:ptCount val="30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3-4433-B56B-A4117E8B0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973952"/>
        <c:axId val="158975872"/>
      </c:lineChart>
      <c:dateAx>
        <c:axId val="1589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5872"/>
        <c:crosses val="autoZero"/>
        <c:auto val="0"/>
        <c:lblOffset val="100"/>
        <c:baseTimeUnit val="days"/>
      </c:dateAx>
      <c:valAx>
        <c:axId val="15897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3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 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449486995943692E-2"/>
          <c:y val="0.16237097005279383"/>
          <c:w val="0.88127549510856595"/>
          <c:h val="0.69530803483452974"/>
        </c:manualLayout>
      </c:layout>
      <c:area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'!$B$82:$B$112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C-4BFB-B110-9681F05A2868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'!$C$82:$C$112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201265000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C-4BFB-B110-9681F05A2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023872"/>
        <c:axId val="159025408"/>
      </c:areaChart>
      <c:dateAx>
        <c:axId val="1590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5408"/>
        <c:crosses val="autoZero"/>
        <c:auto val="0"/>
        <c:lblOffset val="100"/>
        <c:baseTimeUnit val="days"/>
      </c:dateAx>
      <c:valAx>
        <c:axId val="1590254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38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1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48055033060596E-2"/>
          <c:y val="0.11653005464480874"/>
          <c:w val="0.9179042182651057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09-47D5-91DA-45DE6DDFBDCB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9-47D5-91DA-45DE6DDFBDCB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09-47D5-91DA-45DE6DDFBDCB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9-47D5-91DA-45DE6DDFBDCB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09-47D5-91DA-45DE6DDFBDCB}"/>
                </c:ext>
              </c:extLst>
            </c:dLbl>
            <c:dLbl>
              <c:idx val="16"/>
              <c:layout>
                <c:manualLayout>
                  <c:x val="-8.5998255493121359E-3"/>
                  <c:y val="-1.34277784949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7A-4A4A-BFF5-7803435EC399}"/>
                </c:ext>
              </c:extLst>
            </c:dLbl>
            <c:dLbl>
              <c:idx val="17"/>
              <c:layout>
                <c:manualLayout>
                  <c:x val="-7.8472745541321269E-3"/>
                  <c:y val="-2.0258379587797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14-4E75-93D6-61AE249C5677}"/>
                </c:ext>
              </c:extLst>
            </c:dLbl>
            <c:dLbl>
              <c:idx val="18"/>
              <c:layout>
                <c:manualLayout>
                  <c:x val="-1.9824797710384166E-2"/>
                  <c:y val="2.0725226969579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4-4E75-93D6-61AE249C56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1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1 Graph with Exempt'!$B$41:$B$59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181607293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148369000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09-47D5-91DA-45DE6DDFB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54080"/>
        <c:axId val="138652288"/>
      </c:lineChart>
      <c:dateAx>
        <c:axId val="1262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52288"/>
        <c:crosses val="autoZero"/>
        <c:auto val="0"/>
        <c:lblOffset val="100"/>
        <c:baseTimeUnit val="days"/>
      </c:dateAx>
      <c:valAx>
        <c:axId val="138652288"/>
        <c:scaling>
          <c:orientation val="minMax"/>
          <c:min val="1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26254080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2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14251162290725E-2"/>
          <c:y val="0.12336065573770492"/>
          <c:w val="0.9070468409878799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2775881683731523E-2"/>
                  <c:y val="3.21095621244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A8-4514-B751-195491E4E00A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8-4514-B751-195491E4E00A}"/>
                </c:ext>
              </c:extLst>
            </c:dLbl>
            <c:dLbl>
              <c:idx val="3"/>
              <c:layout>
                <c:manualLayout>
                  <c:x val="-5.325369738339026E-2"/>
                  <c:y val="-3.438642915537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A8-4514-B751-195491E4E00A}"/>
                </c:ext>
              </c:extLst>
            </c:dLbl>
            <c:dLbl>
              <c:idx val="4"/>
              <c:layout>
                <c:manualLayout>
                  <c:x val="-2.1399317406143346E-2"/>
                  <c:y val="3.2109562124406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8-4514-B751-195491E4E00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A8-4514-B751-195491E4E00A}"/>
                </c:ext>
              </c:extLst>
            </c:dLbl>
            <c:dLbl>
              <c:idx val="7"/>
              <c:layout>
                <c:manualLayout>
                  <c:x val="-6.6905574516496022E-2"/>
                  <c:y val="-1.7981512556832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8-4514-B751-195491E4E00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A8-4514-B751-195491E4E00A}"/>
                </c:ext>
              </c:extLst>
            </c:dLbl>
            <c:dLbl>
              <c:idx val="11"/>
              <c:layout>
                <c:manualLayout>
                  <c:x val="-3.0500568828213961E-2"/>
                  <c:y val="3.4386429155371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8-4514-B751-195491E4E00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A8-4514-B751-195491E4E00A}"/>
                </c:ext>
              </c:extLst>
            </c:dLbl>
            <c:dLbl>
              <c:idx val="15"/>
              <c:layout>
                <c:manualLayout>
                  <c:x val="-1.9966192220242755E-2"/>
                  <c:y val="-1.391322523548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7-4D49-90AA-AE4983B96F03}"/>
                </c:ext>
              </c:extLst>
            </c:dLbl>
            <c:dLbl>
              <c:idx val="17"/>
              <c:layout>
                <c:manualLayout>
                  <c:x val="-5.1210612150960469E-2"/>
                  <c:y val="2.0378257770300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7-4D49-90AA-AE4983B96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2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2 Graph with Exempt'!$C$41:$C$59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449524000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AA8-4514-B751-195491E4E0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262592"/>
        <c:axId val="159264128"/>
      </c:lineChart>
      <c:dateAx>
        <c:axId val="1592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4128"/>
        <c:crosses val="autoZero"/>
        <c:auto val="0"/>
        <c:lblOffset val="100"/>
        <c:baseTimeUnit val="days"/>
      </c:dateAx>
      <c:valAx>
        <c:axId val="159264128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2592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3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643736029160045E-2"/>
          <c:y val="0.11653005464480874"/>
          <c:w val="0.90712608494270697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9-4747-BBA2-A25A600A50EA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9-4747-BBA2-A25A600A50EA}"/>
                </c:ext>
              </c:extLst>
            </c:dLbl>
            <c:dLbl>
              <c:idx val="4"/>
              <c:layout>
                <c:manualLayout>
                  <c:x val="-4.5251491901108311E-2"/>
                  <c:y val="-3.210956212440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9-4747-BBA2-A25A600A50E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9-4747-BBA2-A25A600A50EA}"/>
                </c:ext>
              </c:extLst>
            </c:dLbl>
            <c:dLbl>
              <c:idx val="7"/>
              <c:layout>
                <c:manualLayout>
                  <c:x val="-1.5697641375390738E-2"/>
                  <c:y val="-3.4386429155372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9-4747-BBA2-A25A600A50EA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9-4747-BBA2-A25A600A50EA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29-4747-BBA2-A25A600A50EA}"/>
                </c:ext>
              </c:extLst>
            </c:dLbl>
            <c:dLbl>
              <c:idx val="11"/>
              <c:layout>
                <c:manualLayout>
                  <c:x val="-3.441323031551994E-2"/>
                  <c:y val="-3.8940163217302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29-4747-BBA2-A25A600A50EA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29-4747-BBA2-A25A600A50EA}"/>
                </c:ext>
              </c:extLst>
            </c:dLbl>
            <c:dLbl>
              <c:idx val="16"/>
              <c:layout>
                <c:manualLayout>
                  <c:x val="-2.8072667387164841E-2"/>
                  <c:y val="-1.6171492907648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7-4622-A781-8B6B67EABC1F}"/>
                </c:ext>
              </c:extLst>
            </c:dLbl>
            <c:dLbl>
              <c:idx val="17"/>
              <c:layout>
                <c:manualLayout>
                  <c:x val="-7.5195398734684595E-3"/>
                  <c:y val="-2.2826494514273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17-4B68-B8CF-B42816588D47}"/>
                </c:ext>
              </c:extLst>
            </c:dLbl>
            <c:dLbl>
              <c:idx val="18"/>
              <c:layout>
                <c:manualLayout>
                  <c:x val="-1.6763170670270458E-2"/>
                  <c:y val="1.635089092124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17-4B68-B8CF-B42816588D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3 Graph with Exempt'!$A$42:$A$60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3 Graph with Exempt'!$D$42:$D$60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75853000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29-4747-BBA2-A25A600A50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99936"/>
        <c:axId val="174201472"/>
      </c:lineChart>
      <c:dateAx>
        <c:axId val="1741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201472"/>
        <c:crosses val="autoZero"/>
        <c:auto val="0"/>
        <c:lblOffset val="100"/>
        <c:baseTimeUnit val="days"/>
      </c:dateAx>
      <c:valAx>
        <c:axId val="1742014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199936"/>
        <c:crosses val="autoZero"/>
        <c:crossBetween val="between"/>
        <c:majorUnit val="3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148369000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D-40BA-9C0D-A1ECC15940B1}"/>
            </c:ext>
          </c:extLst>
        </c:ser>
        <c:ser>
          <c:idx val="1"/>
          <c:order val="1"/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449524000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D-40BA-9C0D-A1ECC15940B1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75853000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D-40BA-9C0D-A1ECC15940B1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Exempt'!$F$79:$F$97</c:f>
              <c:numCache>
                <c:formatCode>#,##0</c:formatCode>
                <c:ptCount val="19"/>
                <c:pt idx="0">
                  <c:v>654295090.27857149</c:v>
                </c:pt>
                <c:pt idx="1">
                  <c:v>670320908.74720919</c:v>
                </c:pt>
                <c:pt idx="2">
                  <c:v>671760569.61000001</c:v>
                </c:pt>
                <c:pt idx="3">
                  <c:v>656296449.80999994</c:v>
                </c:pt>
                <c:pt idx="4">
                  <c:v>703716570.50999999</c:v>
                </c:pt>
                <c:pt idx="5">
                  <c:v>721594535.56999993</c:v>
                </c:pt>
                <c:pt idx="6">
                  <c:v>749479653</c:v>
                </c:pt>
                <c:pt idx="7">
                  <c:v>771993455.99000001</c:v>
                </c:pt>
                <c:pt idx="8">
                  <c:v>794087706.91000009</c:v>
                </c:pt>
                <c:pt idx="9">
                  <c:v>810973172</c:v>
                </c:pt>
                <c:pt idx="10">
                  <c:v>805942429.81818175</c:v>
                </c:pt>
                <c:pt idx="11">
                  <c:v>809865466.72727275</c:v>
                </c:pt>
                <c:pt idx="12">
                  <c:v>816374282.44999993</c:v>
                </c:pt>
                <c:pt idx="13">
                  <c:v>811361027</c:v>
                </c:pt>
                <c:pt idx="14">
                  <c:v>746300000</c:v>
                </c:pt>
                <c:pt idx="15">
                  <c:v>760986000</c:v>
                </c:pt>
                <c:pt idx="16">
                  <c:v>730056000</c:v>
                </c:pt>
                <c:pt idx="17">
                  <c:v>692901000</c:v>
                </c:pt>
                <c:pt idx="18">
                  <c:v>674260000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C6-4150-A346-61F6C98FB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456512"/>
        <c:axId val="139458432"/>
      </c:lineChart>
      <c:dateAx>
        <c:axId val="1394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8432"/>
        <c:crosses val="autoZero"/>
        <c:auto val="0"/>
        <c:lblOffset val="100"/>
        <c:baseTimeUnit val="days"/>
      </c:dateAx>
      <c:valAx>
        <c:axId val="1394584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6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19</xdr:col>
      <xdr:colOff>409575</xdr:colOff>
      <xdr:row>37</xdr:row>
      <xdr:rowOff>923925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446750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29</xdr:row>
      <xdr:rowOff>85725</xdr:rowOff>
    </xdr:from>
    <xdr:to>
      <xdr:col>15</xdr:col>
      <xdr:colOff>304738</xdr:colOff>
      <xdr:row>32</xdr:row>
      <xdr:rowOff>57165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0306050" y="4781550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123630</xdr:colOff>
      <xdr:row>34</xdr:row>
      <xdr:rowOff>628650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29</xdr:row>
      <xdr:rowOff>19050</xdr:rowOff>
    </xdr:from>
    <xdr:to>
      <xdr:col>15</xdr:col>
      <xdr:colOff>209488</xdr:colOff>
      <xdr:row>31</xdr:row>
      <xdr:rowOff>152415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10220325" y="47148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114300</xdr:colOff>
      <xdr:row>36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114300</xdr:colOff>
      <xdr:row>73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0.77621</cdr:x>
      <cdr:y>0.19637</cdr:y>
    </cdr:from>
    <cdr:to>
      <cdr:x>0.9258</cdr:x>
      <cdr:y>0.23394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99B8BB-EDEF-4C48-A02C-A2E4001EB9B7}"/>
            </a:ext>
          </a:extLst>
        </cdr:cNvPr>
        <cdr:cNvSpPr txBox="1"/>
      </cdr:nvSpPr>
      <cdr:spPr>
        <a:xfrm xmlns:a="http://schemas.openxmlformats.org/drawingml/2006/main">
          <a:off x="7385978" y="1095347"/>
          <a:ext cx="1423420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Total Domestic</a:t>
          </a:r>
        </a:p>
      </cdr:txBody>
    </cdr:sp>
  </cdr:relSizeAnchor>
  <cdr:relSizeAnchor xmlns:cdr="http://schemas.openxmlformats.org/drawingml/2006/chartDrawing">
    <cdr:from>
      <cdr:x>0.79024</cdr:x>
      <cdr:y>0.43716</cdr:y>
    </cdr:from>
    <cdr:to>
      <cdr:x>0.96647</cdr:x>
      <cdr:y>0.49522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DC75F6-CD6A-4011-B98C-CA05A58A38B4}"/>
            </a:ext>
          </a:extLst>
        </cdr:cNvPr>
        <cdr:cNvSpPr txBox="1"/>
      </cdr:nvSpPr>
      <cdr:spPr>
        <a:xfrm xmlns:a="http://schemas.openxmlformats.org/drawingml/2006/main">
          <a:off x="7519490" y="2438428"/>
          <a:ext cx="1676912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2</a:t>
          </a:r>
        </a:p>
      </cdr:txBody>
    </cdr:sp>
  </cdr:relSizeAnchor>
  <cdr:relSizeAnchor xmlns:cdr="http://schemas.openxmlformats.org/drawingml/2006/chartDrawing">
    <cdr:from>
      <cdr:x>0.79303</cdr:x>
      <cdr:y>0.71721</cdr:y>
    </cdr:from>
    <cdr:to>
      <cdr:x>0.93545</cdr:x>
      <cdr:y>0.75478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A106175-52C3-4892-B2C2-16F2C5B7CB9C}"/>
            </a:ext>
          </a:extLst>
        </cdr:cNvPr>
        <cdr:cNvSpPr txBox="1"/>
      </cdr:nvSpPr>
      <cdr:spPr>
        <a:xfrm xmlns:a="http://schemas.openxmlformats.org/drawingml/2006/main">
          <a:off x="7546057" y="4000473"/>
          <a:ext cx="1355194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1</a:t>
          </a:r>
        </a:p>
      </cdr:txBody>
    </cdr:sp>
  </cdr:relSizeAnchor>
  <cdr:relSizeAnchor xmlns:cdr="http://schemas.openxmlformats.org/drawingml/2006/chartDrawing">
    <cdr:from>
      <cdr:x>0.79268</cdr:x>
      <cdr:y>0.80259</cdr:y>
    </cdr:from>
    <cdr:to>
      <cdr:x>0.91768</cdr:x>
      <cdr:y>0.84358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0549EF6-BF73-4FFD-831F-960ACC03BF93}"/>
            </a:ext>
          </a:extLst>
        </cdr:cNvPr>
        <cdr:cNvSpPr txBox="1"/>
      </cdr:nvSpPr>
      <cdr:spPr>
        <a:xfrm xmlns:a="http://schemas.openxmlformats.org/drawingml/2006/main">
          <a:off x="7542726" y="4476732"/>
          <a:ext cx="1189434" cy="22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3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0.80225</cdr:x>
      <cdr:y>0.48327</cdr:y>
    </cdr:from>
    <cdr:to>
      <cdr:x>0.97848</cdr:x>
      <cdr:y>0.54133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558C992-2D15-4024-98C0-319E8E50A7FE}"/>
            </a:ext>
          </a:extLst>
        </cdr:cNvPr>
        <cdr:cNvSpPr txBox="1"/>
      </cdr:nvSpPr>
      <cdr:spPr>
        <a:xfrm xmlns:a="http://schemas.openxmlformats.org/drawingml/2006/main">
          <a:off x="7458075" y="2695575"/>
          <a:ext cx="16383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0.79303</cdr:x>
      <cdr:y>0.70867</cdr:y>
    </cdr:from>
    <cdr:to>
      <cdr:x>0.93545</cdr:x>
      <cdr:y>0.74624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02A3414-C5B7-40C0-989D-98631436D17E}"/>
            </a:ext>
          </a:extLst>
        </cdr:cNvPr>
        <cdr:cNvSpPr txBox="1"/>
      </cdr:nvSpPr>
      <cdr:spPr>
        <a:xfrm xmlns:a="http://schemas.openxmlformats.org/drawingml/2006/main">
          <a:off x="7372350" y="3952875"/>
          <a:ext cx="1323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0.86475</cdr:x>
      <cdr:y>0.7821</cdr:y>
    </cdr:from>
    <cdr:to>
      <cdr:x>0.98975</cdr:x>
      <cdr:y>0.82309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3D5C41A-22DA-498D-8E98-AA998D8A012B}"/>
            </a:ext>
          </a:extLst>
        </cdr:cNvPr>
        <cdr:cNvSpPr txBox="1"/>
      </cdr:nvSpPr>
      <cdr:spPr>
        <a:xfrm xmlns:a="http://schemas.openxmlformats.org/drawingml/2006/main">
          <a:off x="8039100" y="4362450"/>
          <a:ext cx="1162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</cdr:x>
      <cdr:y>0.79973</cdr:y>
    </cdr:from>
    <cdr:to>
      <cdr:x>0.98633</cdr:x>
      <cdr:y>0.88853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43574DE-BF84-4AC7-86E7-5C4A37EE1953}"/>
            </a:ext>
          </a:extLst>
        </cdr:cNvPr>
        <cdr:cNvSpPr txBox="1"/>
      </cdr:nvSpPr>
      <cdr:spPr>
        <a:xfrm xmlns:a="http://schemas.openxmlformats.org/drawingml/2006/main">
          <a:off x="9458324" y="4509590"/>
          <a:ext cx="847735" cy="500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800">
              <a:effectLst/>
              <a:latin typeface="+mn-lt"/>
              <a:ea typeface="+mn-ea"/>
              <a:cs typeface="+mn-cs"/>
            </a:rPr>
            <a:t>* </a:t>
          </a:r>
          <a:r>
            <a:rPr lang="en-US" sz="1000">
              <a:effectLst/>
              <a:latin typeface="+mn-lt"/>
              <a:ea typeface="+mn-ea"/>
              <a:cs typeface="+mn-cs"/>
            </a:rPr>
            <a:t>Projected</a:t>
          </a:r>
          <a:endParaRPr lang="en-US" sz="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18</xdr:col>
      <xdr:colOff>219075</xdr:colOff>
      <xdr:row>37</xdr:row>
      <xdr:rowOff>685019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0.91989</cdr:x>
      <cdr:y>0.83134</cdr:y>
    </cdr:from>
    <cdr:to>
      <cdr:x>0.98907</cdr:x>
      <cdr:y>0.9116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E87BB8E-F9AD-451D-814E-68F16379267E}"/>
            </a:ext>
          </a:extLst>
        </cdr:cNvPr>
        <cdr:cNvSpPr txBox="1"/>
      </cdr:nvSpPr>
      <cdr:spPr>
        <a:xfrm xmlns:a="http://schemas.openxmlformats.org/drawingml/2006/main">
          <a:off x="9734550" y="4909478"/>
          <a:ext cx="732061" cy="473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* Projected</a:t>
          </a:r>
          <a:endParaRPr lang="en-US" sz="7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476250</xdr:colOff>
      <xdr:row>37</xdr:row>
      <xdr:rowOff>12623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0.90027</cdr:x>
      <cdr:y>0.85041</cdr:y>
    </cdr:from>
    <cdr:to>
      <cdr:x>0.98993</cdr:x>
      <cdr:y>0.93238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A7E500-2B57-48AB-8186-0324F0FEC437}"/>
            </a:ext>
          </a:extLst>
        </cdr:cNvPr>
        <cdr:cNvSpPr txBox="1"/>
      </cdr:nvSpPr>
      <cdr:spPr>
        <a:xfrm xmlns:a="http://schemas.openxmlformats.org/drawingml/2006/main">
          <a:off x="9372600" y="4743451"/>
          <a:ext cx="933388" cy="45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22070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16</xdr:col>
      <xdr:colOff>38100</xdr:colOff>
      <xdr:row>75</xdr:row>
      <xdr:rowOff>132732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0.72848</cdr:x>
      <cdr:y>0.27798</cdr:y>
    </cdr:from>
    <cdr:to>
      <cdr:x>0.85553</cdr:x>
      <cdr:y>0.33604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02B6B9-7BD9-475C-B20E-7777037B9812}"/>
            </a:ext>
          </a:extLst>
        </cdr:cNvPr>
        <cdr:cNvSpPr txBox="1"/>
      </cdr:nvSpPr>
      <cdr:spPr>
        <a:xfrm xmlns:a="http://schemas.openxmlformats.org/drawingml/2006/main">
          <a:off x="7593256" y="1609816"/>
          <a:ext cx="1324289" cy="33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Combined</a:t>
          </a:r>
          <a:r>
            <a:rPr lang="en-US" sz="1100" baseline="0"/>
            <a:t> </a:t>
          </a:r>
          <a:endParaRPr lang="en-US" sz="1100"/>
        </a:p>
      </cdr:txBody>
    </cdr:sp>
  </cdr:relSizeAnchor>
  <cdr:relSizeAnchor xmlns:cdr="http://schemas.openxmlformats.org/drawingml/2006/chartDrawing">
    <cdr:from>
      <cdr:x>0.73566</cdr:x>
      <cdr:y>0.44388</cdr:y>
    </cdr:from>
    <cdr:to>
      <cdr:x>0.84631</cdr:x>
      <cdr:y>0.47974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46C95E8-2DD3-41DA-BE9F-DE92FE5D3C18}"/>
            </a:ext>
          </a:extLst>
        </cdr:cNvPr>
        <cdr:cNvSpPr txBox="1"/>
      </cdr:nvSpPr>
      <cdr:spPr>
        <a:xfrm xmlns:a="http://schemas.openxmlformats.org/drawingml/2006/main">
          <a:off x="7668044" y="2570577"/>
          <a:ext cx="1153346" cy="207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Domestic</a:t>
          </a:r>
        </a:p>
      </cdr:txBody>
    </cdr:sp>
  </cdr:relSizeAnchor>
  <cdr:relSizeAnchor xmlns:cdr="http://schemas.openxmlformats.org/drawingml/2006/chartDrawing">
    <cdr:from>
      <cdr:x>0.7411</cdr:x>
      <cdr:y>0.76642</cdr:y>
    </cdr:from>
    <cdr:to>
      <cdr:x>0.8866</cdr:x>
      <cdr:y>0.80398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A34867D-114A-46C0-ACA3-A9C63CD00655}"/>
            </a:ext>
          </a:extLst>
        </cdr:cNvPr>
        <cdr:cNvSpPr txBox="1"/>
      </cdr:nvSpPr>
      <cdr:spPr>
        <a:xfrm xmlns:a="http://schemas.openxmlformats.org/drawingml/2006/main">
          <a:off x="7724798" y="4438485"/>
          <a:ext cx="1516601" cy="21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Imports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228600</xdr:colOff>
      <xdr:row>34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29</xdr:row>
      <xdr:rowOff>95250</xdr:rowOff>
    </xdr:from>
    <xdr:to>
      <xdr:col>15</xdr:col>
      <xdr:colOff>199963</xdr:colOff>
      <xdr:row>32</xdr:row>
      <xdr:rowOff>66690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1677650" y="47910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A1DC-1FC6-4F79-8E87-DA8E75460F95}">
  <sheetPr>
    <tabColor theme="3" tint="0.39997558519241921"/>
    <pageSetUpPr fitToPage="1"/>
  </sheetPr>
  <dimension ref="A1:AL54"/>
  <sheetViews>
    <sheetView tabSelected="1" zoomScale="110" zoomScaleNormal="110" workbookViewId="0">
      <pane xSplit="1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1" customWidth="1"/>
    <col min="2" max="2" width="7.5703125" style="1" hidden="1" customWidth="1"/>
    <col min="3" max="18" width="7.28515625" style="1" hidden="1" customWidth="1"/>
    <col min="19" max="32" width="7.28515625" style="1" customWidth="1"/>
    <col min="33" max="33" width="7.28515625" style="4" customWidth="1"/>
    <col min="34" max="34" width="8.7109375" style="16" bestFit="1" customWidth="1"/>
    <col min="35" max="37" width="9.140625" style="1"/>
    <col min="38" max="38" width="10.28515625" style="1" customWidth="1"/>
    <col min="39" max="16384" width="9.140625" style="1"/>
  </cols>
  <sheetData>
    <row r="1" spans="1:38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8" ht="24" customHeight="1" x14ac:dyDescent="0.25">
      <c r="A2" s="207" t="s">
        <v>65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8" ht="14.25" customHeight="1" x14ac:dyDescent="0.2">
      <c r="A3" s="137"/>
      <c r="B3" s="152">
        <v>1993</v>
      </c>
      <c r="C3" s="153" t="s">
        <v>8</v>
      </c>
      <c r="D3" s="154">
        <v>1995</v>
      </c>
      <c r="E3" s="154">
        <v>1996</v>
      </c>
      <c r="F3" s="154">
        <v>1997</v>
      </c>
      <c r="G3" s="154">
        <v>1998</v>
      </c>
      <c r="H3" s="154">
        <v>1999</v>
      </c>
      <c r="I3" s="154">
        <v>2000</v>
      </c>
      <c r="J3" s="154">
        <v>2001</v>
      </c>
      <c r="K3" s="154">
        <v>2002</v>
      </c>
      <c r="L3" s="154">
        <v>2003</v>
      </c>
      <c r="M3" s="154">
        <v>2004</v>
      </c>
      <c r="N3" s="154">
        <v>2005</v>
      </c>
      <c r="O3" s="154">
        <v>2006</v>
      </c>
      <c r="P3" s="154">
        <v>2007</v>
      </c>
      <c r="Q3" s="154">
        <v>2008</v>
      </c>
      <c r="R3" s="154">
        <v>2009</v>
      </c>
      <c r="S3" s="154">
        <v>2010</v>
      </c>
      <c r="T3" s="155">
        <v>2011</v>
      </c>
      <c r="U3" s="155">
        <v>2012</v>
      </c>
      <c r="V3" s="155" t="s">
        <v>46</v>
      </c>
      <c r="W3" s="155" t="s">
        <v>45</v>
      </c>
      <c r="X3" s="155" t="s">
        <v>44</v>
      </c>
      <c r="Y3" s="155" t="s">
        <v>43</v>
      </c>
      <c r="Z3" s="155" t="s">
        <v>50</v>
      </c>
      <c r="AA3" s="155" t="s">
        <v>51</v>
      </c>
      <c r="AB3" s="155" t="s">
        <v>55</v>
      </c>
      <c r="AC3" s="155" t="s">
        <v>56</v>
      </c>
      <c r="AD3" s="156" t="s">
        <v>58</v>
      </c>
      <c r="AE3" s="156" t="s">
        <v>66</v>
      </c>
      <c r="AF3" s="156" t="s">
        <v>67</v>
      </c>
      <c r="AG3" s="156" t="s">
        <v>68</v>
      </c>
      <c r="AH3" s="156" t="s">
        <v>4</v>
      </c>
    </row>
    <row r="4" spans="1:38" s="53" customFormat="1" ht="14.25" customHeight="1" x14ac:dyDescent="0.2">
      <c r="A4" s="113" t="s">
        <v>42</v>
      </c>
      <c r="B4" s="49">
        <v>29.468</v>
      </c>
      <c r="C4" s="50">
        <f>44.33+0.27</f>
        <v>44.6</v>
      </c>
      <c r="D4" s="50">
        <f>44.5+0.35</f>
        <v>44.85</v>
      </c>
      <c r="E4" s="51">
        <f>46.5+0.72</f>
        <v>47.22</v>
      </c>
      <c r="F4" s="51">
        <v>47.96</v>
      </c>
      <c r="G4" s="52">
        <v>52.4</v>
      </c>
      <c r="H4" s="51">
        <v>54.38</v>
      </c>
      <c r="I4" s="51">
        <v>56.51</v>
      </c>
      <c r="J4" s="52">
        <v>57.008000000000003</v>
      </c>
      <c r="K4" s="52">
        <v>58.598999999999997</v>
      </c>
      <c r="L4" s="52">
        <v>57.253</v>
      </c>
      <c r="M4" s="52">
        <v>62.13</v>
      </c>
      <c r="N4" s="51">
        <v>59.17</v>
      </c>
      <c r="O4" s="51">
        <v>60.978999999999999</v>
      </c>
      <c r="P4" s="52">
        <v>62.536999999999999</v>
      </c>
      <c r="Q4" s="51">
        <v>65.122</v>
      </c>
      <c r="R4" s="51">
        <v>62.75</v>
      </c>
      <c r="S4" s="51">
        <v>65.882000000000005</v>
      </c>
      <c r="T4" s="52">
        <v>68.177000000000007</v>
      </c>
      <c r="U4" s="52">
        <v>70.117999999999995</v>
      </c>
      <c r="V4" s="52">
        <v>74.855999999999995</v>
      </c>
      <c r="W4" s="52">
        <v>77.634</v>
      </c>
      <c r="X4" s="52">
        <v>78.986000000000004</v>
      </c>
      <c r="Y4" s="52">
        <v>79.367999999999995</v>
      </c>
      <c r="Z4" s="52">
        <v>79.498999999999995</v>
      </c>
      <c r="AA4" s="52">
        <v>83.905000000000001</v>
      </c>
      <c r="AB4" s="52">
        <v>85.100999999999999</v>
      </c>
      <c r="AC4" s="52">
        <v>86.924000000000007</v>
      </c>
      <c r="AD4" s="52">
        <v>80.703999999999994</v>
      </c>
      <c r="AE4" s="196">
        <v>81.436999999999998</v>
      </c>
      <c r="AF4" s="196">
        <v>82.022999999999996</v>
      </c>
      <c r="AG4" s="127">
        <v>78.450999999999993</v>
      </c>
      <c r="AH4" s="132">
        <f>SUM(AG4/AF4)</f>
        <v>0.95645123928654152</v>
      </c>
    </row>
    <row r="5" spans="1:38" ht="14.25" customHeight="1" x14ac:dyDescent="0.2">
      <c r="A5" s="114" t="s">
        <v>31</v>
      </c>
      <c r="B5" s="15"/>
      <c r="C5" s="45">
        <f t="shared" ref="C5:AD5" si="0">SUM(C4)</f>
        <v>44.6</v>
      </c>
      <c r="D5" s="45">
        <f t="shared" si="0"/>
        <v>44.85</v>
      </c>
      <c r="E5" s="45">
        <f t="shared" si="0"/>
        <v>47.22</v>
      </c>
      <c r="F5" s="46">
        <f t="shared" si="0"/>
        <v>47.96</v>
      </c>
      <c r="G5" s="46">
        <f t="shared" si="0"/>
        <v>52.4</v>
      </c>
      <c r="H5" s="46">
        <f t="shared" si="0"/>
        <v>54.38</v>
      </c>
      <c r="I5" s="46">
        <f t="shared" si="0"/>
        <v>56.51</v>
      </c>
      <c r="J5" s="46">
        <f t="shared" si="0"/>
        <v>57.008000000000003</v>
      </c>
      <c r="K5" s="46">
        <f t="shared" si="0"/>
        <v>58.598999999999997</v>
      </c>
      <c r="L5" s="46">
        <f t="shared" si="0"/>
        <v>57.253</v>
      </c>
      <c r="M5" s="46">
        <f t="shared" si="0"/>
        <v>62.13</v>
      </c>
      <c r="N5" s="46">
        <f t="shared" si="0"/>
        <v>59.17</v>
      </c>
      <c r="O5" s="46">
        <f t="shared" si="0"/>
        <v>60.978999999999999</v>
      </c>
      <c r="P5" s="46">
        <f t="shared" si="0"/>
        <v>62.536999999999999</v>
      </c>
      <c r="Q5" s="46">
        <f t="shared" si="0"/>
        <v>65.122</v>
      </c>
      <c r="R5" s="46">
        <f t="shared" si="0"/>
        <v>62.75</v>
      </c>
      <c r="S5" s="46">
        <f t="shared" si="0"/>
        <v>65.882000000000005</v>
      </c>
      <c r="T5" s="46">
        <f t="shared" si="0"/>
        <v>68.177000000000007</v>
      </c>
      <c r="U5" s="46">
        <f t="shared" si="0"/>
        <v>70.117999999999995</v>
      </c>
      <c r="V5" s="46">
        <f t="shared" si="0"/>
        <v>74.855999999999995</v>
      </c>
      <c r="W5" s="46">
        <f t="shared" si="0"/>
        <v>77.634</v>
      </c>
      <c r="X5" s="46">
        <f t="shared" si="0"/>
        <v>78.986000000000004</v>
      </c>
      <c r="Y5" s="46">
        <f t="shared" si="0"/>
        <v>79.367999999999995</v>
      </c>
      <c r="Z5" s="46">
        <f t="shared" si="0"/>
        <v>79.498999999999995</v>
      </c>
      <c r="AA5" s="46">
        <f t="shared" si="0"/>
        <v>83.905000000000001</v>
      </c>
      <c r="AB5" s="46">
        <f t="shared" si="0"/>
        <v>85.100999999999999</v>
      </c>
      <c r="AC5" s="46">
        <f t="shared" si="0"/>
        <v>86.924000000000007</v>
      </c>
      <c r="AD5" s="45">
        <f t="shared" si="0"/>
        <v>80.703999999999994</v>
      </c>
      <c r="AE5" s="197">
        <f t="shared" ref="AE5:AG5" si="1">SUM(AE4)</f>
        <v>81.436999999999998</v>
      </c>
      <c r="AF5" s="197">
        <f t="shared" si="1"/>
        <v>82.022999999999996</v>
      </c>
      <c r="AG5" s="197">
        <f t="shared" si="1"/>
        <v>78.450999999999993</v>
      </c>
      <c r="AH5" s="133">
        <f t="shared" ref="AH5:AH26" si="2">SUM(AG5/AF5)</f>
        <v>0.95645123928654152</v>
      </c>
    </row>
    <row r="6" spans="1:38" s="53" customFormat="1" ht="14.25" customHeight="1" x14ac:dyDescent="0.2">
      <c r="A6" s="113" t="s">
        <v>41</v>
      </c>
      <c r="B6" s="49">
        <v>27.055</v>
      </c>
      <c r="C6" s="50">
        <f>40.12+0.18</f>
        <v>40.299999999999997</v>
      </c>
      <c r="D6" s="50">
        <f>43.3+0.62</f>
        <v>43.919999999999995</v>
      </c>
      <c r="E6" s="51">
        <f>40.6+0.49</f>
        <v>41.09</v>
      </c>
      <c r="F6" s="51">
        <f>43.1+0.95</f>
        <v>44.050000000000004</v>
      </c>
      <c r="G6" s="51">
        <f>45.44+1.8</f>
        <v>47.239999999999995</v>
      </c>
      <c r="H6" s="51">
        <v>48.8</v>
      </c>
      <c r="I6" s="51">
        <v>54.7</v>
      </c>
      <c r="J6" s="51">
        <v>53.18</v>
      </c>
      <c r="K6" s="51">
        <v>54.128</v>
      </c>
      <c r="L6" s="51">
        <v>54.247999999999998</v>
      </c>
      <c r="M6" s="51">
        <v>59.865000000000002</v>
      </c>
      <c r="N6" s="51">
        <v>57.149000000000001</v>
      </c>
      <c r="O6" s="51">
        <v>56.832000000000001</v>
      </c>
      <c r="P6" s="51">
        <v>59.353999999999999</v>
      </c>
      <c r="Q6" s="51">
        <v>62.843000000000004</v>
      </c>
      <c r="R6" s="51">
        <v>58.216999999999999</v>
      </c>
      <c r="S6" s="51">
        <v>62.023000000000003</v>
      </c>
      <c r="T6" s="51">
        <v>64.652000000000001</v>
      </c>
      <c r="U6" s="51">
        <v>66.768000000000001</v>
      </c>
      <c r="V6" s="51">
        <v>68.144000000000005</v>
      </c>
      <c r="W6" s="51">
        <v>71.397999999999996</v>
      </c>
      <c r="X6" s="51">
        <v>73.882000000000005</v>
      </c>
      <c r="Y6" s="51">
        <v>77.658000000000001</v>
      </c>
      <c r="Z6" s="51">
        <v>72.427999999999997</v>
      </c>
      <c r="AA6" s="51">
        <v>75.546999999999997</v>
      </c>
      <c r="AB6" s="51">
        <v>76.331000000000003</v>
      </c>
      <c r="AC6" s="51">
        <v>81.674999999999997</v>
      </c>
      <c r="AD6" s="50">
        <v>75.718999999999994</v>
      </c>
      <c r="AE6" s="198">
        <v>76.620999999999995</v>
      </c>
      <c r="AF6" s="198">
        <v>71.013999999999996</v>
      </c>
      <c r="AG6" s="127">
        <v>73.558000000000007</v>
      </c>
      <c r="AH6" s="134">
        <f t="shared" si="2"/>
        <v>1.0358239220435408</v>
      </c>
    </row>
    <row r="7" spans="1:38" ht="14.25" customHeight="1" x14ac:dyDescent="0.2">
      <c r="A7" s="114" t="s">
        <v>31</v>
      </c>
      <c r="B7" s="15"/>
      <c r="C7" s="45">
        <f t="shared" ref="C7:AG7" si="3">SUM(C5:C6)</f>
        <v>84.9</v>
      </c>
      <c r="D7" s="45">
        <f t="shared" si="3"/>
        <v>88.77</v>
      </c>
      <c r="E7" s="45">
        <f t="shared" si="3"/>
        <v>88.31</v>
      </c>
      <c r="F7" s="46">
        <f t="shared" si="3"/>
        <v>92.01</v>
      </c>
      <c r="G7" s="46">
        <f t="shared" si="3"/>
        <v>99.639999999999986</v>
      </c>
      <c r="H7" s="46">
        <f t="shared" si="3"/>
        <v>103.18</v>
      </c>
      <c r="I7" s="46">
        <f t="shared" si="3"/>
        <v>111.21000000000001</v>
      </c>
      <c r="J7" s="46">
        <f t="shared" si="3"/>
        <v>110.188</v>
      </c>
      <c r="K7" s="46">
        <f t="shared" si="3"/>
        <v>112.727</v>
      </c>
      <c r="L7" s="46">
        <f t="shared" si="3"/>
        <v>111.501</v>
      </c>
      <c r="M7" s="46">
        <f t="shared" si="3"/>
        <v>121.995</v>
      </c>
      <c r="N7" s="46">
        <f t="shared" si="3"/>
        <v>116.319</v>
      </c>
      <c r="O7" s="46">
        <f t="shared" si="3"/>
        <v>117.81100000000001</v>
      </c>
      <c r="P7" s="46">
        <f t="shared" si="3"/>
        <v>121.89099999999999</v>
      </c>
      <c r="Q7" s="46">
        <f t="shared" si="3"/>
        <v>127.965</v>
      </c>
      <c r="R7" s="46">
        <f t="shared" si="3"/>
        <v>120.967</v>
      </c>
      <c r="S7" s="46">
        <f t="shared" si="3"/>
        <v>127.905</v>
      </c>
      <c r="T7" s="46">
        <f t="shared" si="3"/>
        <v>132.82900000000001</v>
      </c>
      <c r="U7" s="46">
        <f t="shared" si="3"/>
        <v>136.886</v>
      </c>
      <c r="V7" s="46">
        <f t="shared" si="3"/>
        <v>143</v>
      </c>
      <c r="W7" s="46">
        <f t="shared" si="3"/>
        <v>149.03199999999998</v>
      </c>
      <c r="X7" s="46">
        <f t="shared" si="3"/>
        <v>152.86799999999999</v>
      </c>
      <c r="Y7" s="46">
        <f t="shared" si="3"/>
        <v>157.02600000000001</v>
      </c>
      <c r="Z7" s="46">
        <f t="shared" si="3"/>
        <v>151.92699999999999</v>
      </c>
      <c r="AA7" s="46">
        <f t="shared" si="3"/>
        <v>159.452</v>
      </c>
      <c r="AB7" s="46">
        <f t="shared" si="3"/>
        <v>161.43200000000002</v>
      </c>
      <c r="AC7" s="46">
        <f t="shared" si="3"/>
        <v>168.59899999999999</v>
      </c>
      <c r="AD7" s="46">
        <f t="shared" si="3"/>
        <v>156.423</v>
      </c>
      <c r="AE7" s="199">
        <f t="shared" si="3"/>
        <v>158.05799999999999</v>
      </c>
      <c r="AF7" s="199">
        <f t="shared" si="3"/>
        <v>153.03699999999998</v>
      </c>
      <c r="AG7" s="199">
        <f t="shared" si="3"/>
        <v>152.00900000000001</v>
      </c>
      <c r="AH7" s="133">
        <f t="shared" si="2"/>
        <v>0.9932826702039379</v>
      </c>
    </row>
    <row r="8" spans="1:38" s="53" customFormat="1" ht="14.25" customHeight="1" x14ac:dyDescent="0.2">
      <c r="A8" s="113" t="s">
        <v>40</v>
      </c>
      <c r="B8" s="49">
        <v>28.225000000000001</v>
      </c>
      <c r="C8" s="50">
        <f>43.68+0.13</f>
        <v>43.81</v>
      </c>
      <c r="D8" s="50">
        <f>42.6+0.75</f>
        <v>43.35</v>
      </c>
      <c r="E8" s="51">
        <f>46.3+0.77</f>
        <v>47.07</v>
      </c>
      <c r="F8" s="54">
        <v>47.55</v>
      </c>
      <c r="G8" s="54">
        <v>52.41</v>
      </c>
      <c r="H8" s="54">
        <v>57.15</v>
      </c>
      <c r="I8" s="54">
        <v>59.92</v>
      </c>
      <c r="J8" s="54">
        <v>60.13</v>
      </c>
      <c r="K8" s="54">
        <v>61.853000000000002</v>
      </c>
      <c r="L8" s="54">
        <v>62.819000000000003</v>
      </c>
      <c r="M8" s="54">
        <v>66.801000000000002</v>
      </c>
      <c r="N8" s="54">
        <v>66.394999999999996</v>
      </c>
      <c r="O8" s="54">
        <v>63.575000000000003</v>
      </c>
      <c r="P8" s="54">
        <v>67.768000000000001</v>
      </c>
      <c r="Q8" s="54">
        <v>68.328999999999994</v>
      </c>
      <c r="R8" s="54">
        <v>65.375</v>
      </c>
      <c r="S8" s="54">
        <v>72.293999999999997</v>
      </c>
      <c r="T8" s="54">
        <v>73.326999999999998</v>
      </c>
      <c r="U8" s="54">
        <v>76.546000000000006</v>
      </c>
      <c r="V8" s="54">
        <v>78.058999999999997</v>
      </c>
      <c r="W8" s="54">
        <v>80.619</v>
      </c>
      <c r="X8" s="54">
        <v>84.001999999999995</v>
      </c>
      <c r="Y8" s="54">
        <v>83.763999999999996</v>
      </c>
      <c r="Z8" s="54">
        <v>84.364999999999995</v>
      </c>
      <c r="AA8" s="54">
        <v>88.177000000000007</v>
      </c>
      <c r="AB8" s="54">
        <v>86.947000000000003</v>
      </c>
      <c r="AC8" s="54">
        <v>82.516000000000005</v>
      </c>
      <c r="AD8" s="136">
        <v>89.456000000000003</v>
      </c>
      <c r="AE8" s="200">
        <v>87.224000000000004</v>
      </c>
      <c r="AF8" s="200">
        <v>83.352999999999994</v>
      </c>
      <c r="AG8" s="129">
        <v>79.265000000000001</v>
      </c>
      <c r="AH8" s="134">
        <f t="shared" si="2"/>
        <v>0.9509555744844217</v>
      </c>
    </row>
    <row r="9" spans="1:38" ht="14.25" customHeight="1" x14ac:dyDescent="0.2">
      <c r="A9" s="114" t="s">
        <v>31</v>
      </c>
      <c r="B9" s="15"/>
      <c r="C9" s="45">
        <f t="shared" ref="C9:AG9" si="4">SUM(C7:C8)</f>
        <v>128.71</v>
      </c>
      <c r="D9" s="45">
        <f t="shared" si="4"/>
        <v>132.12</v>
      </c>
      <c r="E9" s="45">
        <f t="shared" si="4"/>
        <v>135.38</v>
      </c>
      <c r="F9" s="47">
        <f t="shared" si="4"/>
        <v>139.56</v>
      </c>
      <c r="G9" s="47">
        <f t="shared" si="4"/>
        <v>152.04999999999998</v>
      </c>
      <c r="H9" s="47">
        <f t="shared" si="4"/>
        <v>160.33000000000001</v>
      </c>
      <c r="I9" s="47">
        <f t="shared" si="4"/>
        <v>171.13</v>
      </c>
      <c r="J9" s="47">
        <f t="shared" si="4"/>
        <v>170.31800000000001</v>
      </c>
      <c r="K9" s="47">
        <f t="shared" si="4"/>
        <v>174.58</v>
      </c>
      <c r="L9" s="47">
        <f t="shared" si="4"/>
        <v>174.32</v>
      </c>
      <c r="M9" s="47">
        <f t="shared" si="4"/>
        <v>188.79599999999999</v>
      </c>
      <c r="N9" s="47">
        <f t="shared" si="4"/>
        <v>182.714</v>
      </c>
      <c r="O9" s="47">
        <f t="shared" si="4"/>
        <v>181.38600000000002</v>
      </c>
      <c r="P9" s="47">
        <f t="shared" si="4"/>
        <v>189.65899999999999</v>
      </c>
      <c r="Q9" s="47">
        <f t="shared" si="4"/>
        <v>196.29399999999998</v>
      </c>
      <c r="R9" s="47">
        <f t="shared" si="4"/>
        <v>186.34199999999998</v>
      </c>
      <c r="S9" s="47">
        <f t="shared" si="4"/>
        <v>200.19900000000001</v>
      </c>
      <c r="T9" s="47">
        <f t="shared" si="4"/>
        <v>206.15600000000001</v>
      </c>
      <c r="U9" s="47">
        <f t="shared" si="4"/>
        <v>213.43200000000002</v>
      </c>
      <c r="V9" s="46">
        <f t="shared" si="4"/>
        <v>221.059</v>
      </c>
      <c r="W9" s="46">
        <f t="shared" si="4"/>
        <v>229.65099999999998</v>
      </c>
      <c r="X9" s="46">
        <f t="shared" si="4"/>
        <v>236.87</v>
      </c>
      <c r="Y9" s="46">
        <f t="shared" si="4"/>
        <v>240.79000000000002</v>
      </c>
      <c r="Z9" s="46">
        <f t="shared" si="4"/>
        <v>236.29199999999997</v>
      </c>
      <c r="AA9" s="46">
        <f t="shared" si="4"/>
        <v>247.62900000000002</v>
      </c>
      <c r="AB9" s="201">
        <f t="shared" si="4"/>
        <v>248.37900000000002</v>
      </c>
      <c r="AC9" s="46">
        <f t="shared" si="4"/>
        <v>251.11500000000001</v>
      </c>
      <c r="AD9" s="46">
        <f t="shared" si="4"/>
        <v>245.87900000000002</v>
      </c>
      <c r="AE9" s="199">
        <f t="shared" si="4"/>
        <v>245.28199999999998</v>
      </c>
      <c r="AF9" s="199">
        <f t="shared" si="4"/>
        <v>236.39</v>
      </c>
      <c r="AG9" s="199">
        <f t="shared" si="4"/>
        <v>231.274</v>
      </c>
      <c r="AH9" s="133">
        <f t="shared" si="2"/>
        <v>0.97835779855323834</v>
      </c>
    </row>
    <row r="10" spans="1:38" s="53" customFormat="1" ht="14.25" customHeight="1" x14ac:dyDescent="0.2">
      <c r="A10" s="113" t="s">
        <v>39</v>
      </c>
      <c r="B10" s="49">
        <v>29.606999999999999</v>
      </c>
      <c r="C10" s="50">
        <f>43.7+0.35</f>
        <v>44.050000000000004</v>
      </c>
      <c r="D10" s="50">
        <f>43.4+0.62</f>
        <v>44.019999999999996</v>
      </c>
      <c r="E10" s="51">
        <f>46.3+0.64</f>
        <v>46.94</v>
      </c>
      <c r="F10" s="55">
        <v>47.5</v>
      </c>
      <c r="G10" s="54">
        <v>52.86</v>
      </c>
      <c r="H10" s="54">
        <v>53.71</v>
      </c>
      <c r="I10" s="54">
        <v>57.491</v>
      </c>
      <c r="J10" s="54">
        <v>55.936</v>
      </c>
      <c r="K10" s="54">
        <v>55.677</v>
      </c>
      <c r="L10" s="54">
        <v>59.066000000000003</v>
      </c>
      <c r="M10" s="54">
        <v>60.442</v>
      </c>
      <c r="N10" s="54">
        <v>58.701999999999998</v>
      </c>
      <c r="O10" s="54">
        <v>60.405000000000001</v>
      </c>
      <c r="P10" s="54">
        <v>61.365000000000002</v>
      </c>
      <c r="Q10" s="54">
        <v>64.448999999999998</v>
      </c>
      <c r="R10" s="54">
        <v>62.326000000000001</v>
      </c>
      <c r="S10" s="54">
        <v>66.73</v>
      </c>
      <c r="T10" s="54">
        <v>66.77</v>
      </c>
      <c r="U10" s="54">
        <v>69.417000000000002</v>
      </c>
      <c r="V10" s="54">
        <v>72.603999999999999</v>
      </c>
      <c r="W10" s="54">
        <v>74.507999999999996</v>
      </c>
      <c r="X10" s="54">
        <v>76.744</v>
      </c>
      <c r="Y10" s="54">
        <v>75.953000000000003</v>
      </c>
      <c r="Z10" s="54">
        <v>77.004000000000005</v>
      </c>
      <c r="AA10" s="54">
        <v>79.837000000000003</v>
      </c>
      <c r="AB10" s="54">
        <v>79.974000000000004</v>
      </c>
      <c r="AC10" s="54">
        <v>66.728999999999999</v>
      </c>
      <c r="AD10" s="136">
        <v>79.853999999999999</v>
      </c>
      <c r="AE10" s="200">
        <v>78.117000000000004</v>
      </c>
      <c r="AF10" s="200">
        <v>74.004999999999995</v>
      </c>
      <c r="AG10" s="127">
        <v>73.498999999999995</v>
      </c>
      <c r="AH10" s="134">
        <f t="shared" si="2"/>
        <v>0.99316262414701706</v>
      </c>
    </row>
    <row r="11" spans="1:38" ht="14.25" customHeight="1" x14ac:dyDescent="0.2">
      <c r="A11" s="114" t="s">
        <v>31</v>
      </c>
      <c r="B11" s="15"/>
      <c r="C11" s="45">
        <f t="shared" ref="C11:AG11" si="5">SUM(C9:C10)</f>
        <v>172.76000000000002</v>
      </c>
      <c r="D11" s="45">
        <f t="shared" si="5"/>
        <v>176.14</v>
      </c>
      <c r="E11" s="45">
        <f t="shared" si="5"/>
        <v>182.32</v>
      </c>
      <c r="F11" s="46">
        <f t="shared" si="5"/>
        <v>187.06</v>
      </c>
      <c r="G11" s="45">
        <f t="shared" si="5"/>
        <v>204.90999999999997</v>
      </c>
      <c r="H11" s="46">
        <f t="shared" si="5"/>
        <v>214.04000000000002</v>
      </c>
      <c r="I11" s="46">
        <f t="shared" si="5"/>
        <v>228.62099999999998</v>
      </c>
      <c r="J11" s="46">
        <f t="shared" si="5"/>
        <v>226.25400000000002</v>
      </c>
      <c r="K11" s="46">
        <f t="shared" si="5"/>
        <v>230.25700000000001</v>
      </c>
      <c r="L11" s="46">
        <f t="shared" si="5"/>
        <v>233.386</v>
      </c>
      <c r="M11" s="46">
        <f t="shared" si="5"/>
        <v>249.238</v>
      </c>
      <c r="N11" s="46">
        <f t="shared" si="5"/>
        <v>241.416</v>
      </c>
      <c r="O11" s="46">
        <f t="shared" si="5"/>
        <v>241.79100000000003</v>
      </c>
      <c r="P11" s="46">
        <f t="shared" si="5"/>
        <v>251.024</v>
      </c>
      <c r="Q11" s="46">
        <f t="shared" si="5"/>
        <v>260.74299999999999</v>
      </c>
      <c r="R11" s="46">
        <f t="shared" si="5"/>
        <v>248.66799999999998</v>
      </c>
      <c r="S11" s="47">
        <f t="shared" si="5"/>
        <v>266.92900000000003</v>
      </c>
      <c r="T11" s="47">
        <f t="shared" si="5"/>
        <v>272.92599999999999</v>
      </c>
      <c r="U11" s="47">
        <f t="shared" si="5"/>
        <v>282.84900000000005</v>
      </c>
      <c r="V11" s="46">
        <f t="shared" si="5"/>
        <v>293.66300000000001</v>
      </c>
      <c r="W11" s="46">
        <f t="shared" si="5"/>
        <v>304.15899999999999</v>
      </c>
      <c r="X11" s="46">
        <f t="shared" si="5"/>
        <v>313.61400000000003</v>
      </c>
      <c r="Y11" s="46">
        <f t="shared" si="5"/>
        <v>316.74300000000005</v>
      </c>
      <c r="Z11" s="46">
        <f t="shared" si="5"/>
        <v>313.29599999999999</v>
      </c>
      <c r="AA11" s="46">
        <f t="shared" si="5"/>
        <v>327.46600000000001</v>
      </c>
      <c r="AB11" s="46">
        <f t="shared" si="5"/>
        <v>328.35300000000001</v>
      </c>
      <c r="AC11" s="46">
        <f t="shared" si="5"/>
        <v>317.84399999999999</v>
      </c>
      <c r="AD11" s="46">
        <f t="shared" si="5"/>
        <v>325.733</v>
      </c>
      <c r="AE11" s="199">
        <f t="shared" si="5"/>
        <v>323.399</v>
      </c>
      <c r="AF11" s="199">
        <f t="shared" si="5"/>
        <v>310.39499999999998</v>
      </c>
      <c r="AG11" s="199">
        <f t="shared" si="5"/>
        <v>304.77300000000002</v>
      </c>
      <c r="AH11" s="133">
        <f t="shared" si="2"/>
        <v>0.98188759483883448</v>
      </c>
    </row>
    <row r="12" spans="1:38" s="53" customFormat="1" ht="14.25" customHeight="1" x14ac:dyDescent="0.2">
      <c r="A12" s="113" t="s">
        <v>38</v>
      </c>
      <c r="B12" s="49">
        <v>31.042999999999999</v>
      </c>
      <c r="C12" s="50">
        <f>36.4+0.45</f>
        <v>36.85</v>
      </c>
      <c r="D12" s="51">
        <f>42.9+0.46</f>
        <v>43.36</v>
      </c>
      <c r="E12" s="51">
        <f>43.4+0.79</f>
        <v>44.19</v>
      </c>
      <c r="F12" s="55">
        <f>46.8+0.98</f>
        <v>47.779999999999994</v>
      </c>
      <c r="G12" s="54">
        <v>50.12</v>
      </c>
      <c r="H12" s="54">
        <v>54.55</v>
      </c>
      <c r="I12" s="54">
        <v>56.816000000000003</v>
      </c>
      <c r="J12" s="54">
        <v>55.625999999999998</v>
      </c>
      <c r="K12" s="54">
        <v>57.8</v>
      </c>
      <c r="L12" s="54">
        <v>59.451999999999998</v>
      </c>
      <c r="M12" s="54">
        <v>61.198</v>
      </c>
      <c r="N12" s="54">
        <v>59.703000000000003</v>
      </c>
      <c r="O12" s="54">
        <v>61.421999999999997</v>
      </c>
      <c r="P12" s="54">
        <v>63.790999999999997</v>
      </c>
      <c r="Q12" s="54">
        <v>63.448</v>
      </c>
      <c r="R12" s="54">
        <v>62.241999999999997</v>
      </c>
      <c r="S12" s="54">
        <v>66.688000000000002</v>
      </c>
      <c r="T12" s="54">
        <v>68.040999999999997</v>
      </c>
      <c r="U12" s="54">
        <v>71.8</v>
      </c>
      <c r="V12" s="54">
        <v>72.34</v>
      </c>
      <c r="W12" s="54">
        <v>74.042000000000002</v>
      </c>
      <c r="X12" s="54">
        <v>75.903000000000006</v>
      </c>
      <c r="Y12" s="54">
        <v>77.873000000000005</v>
      </c>
      <c r="Z12" s="54">
        <v>79.031000000000006</v>
      </c>
      <c r="AA12" s="54">
        <v>82.63</v>
      </c>
      <c r="AB12" s="54">
        <v>80.197000000000003</v>
      </c>
      <c r="AC12" s="54">
        <v>71.808999999999997</v>
      </c>
      <c r="AD12" s="136">
        <v>80.067999999999998</v>
      </c>
      <c r="AE12" s="200">
        <v>76.834000000000003</v>
      </c>
      <c r="AF12" s="200">
        <v>74.257999999999996</v>
      </c>
      <c r="AG12" s="127">
        <v>73.418999999999997</v>
      </c>
      <c r="AH12" s="134">
        <f t="shared" si="2"/>
        <v>0.98870155404131543</v>
      </c>
      <c r="AL12" s="56"/>
    </row>
    <row r="13" spans="1:38" ht="14.25" customHeight="1" x14ac:dyDescent="0.2">
      <c r="A13" s="114" t="s">
        <v>31</v>
      </c>
      <c r="B13" s="15"/>
      <c r="C13" s="45">
        <f t="shared" ref="C13:AG13" si="6">SUM(C11:C12)</f>
        <v>209.61</v>
      </c>
      <c r="D13" s="45">
        <f t="shared" si="6"/>
        <v>219.5</v>
      </c>
      <c r="E13" s="45">
        <f t="shared" si="6"/>
        <v>226.51</v>
      </c>
      <c r="F13" s="46">
        <f t="shared" si="6"/>
        <v>234.84</v>
      </c>
      <c r="G13" s="45">
        <f t="shared" si="6"/>
        <v>255.02999999999997</v>
      </c>
      <c r="H13" s="46">
        <f t="shared" si="6"/>
        <v>268.59000000000003</v>
      </c>
      <c r="I13" s="46">
        <f t="shared" si="6"/>
        <v>285.43700000000001</v>
      </c>
      <c r="J13" s="46">
        <f t="shared" si="6"/>
        <v>281.88</v>
      </c>
      <c r="K13" s="46">
        <f t="shared" si="6"/>
        <v>288.05700000000002</v>
      </c>
      <c r="L13" s="46">
        <f t="shared" si="6"/>
        <v>292.83799999999997</v>
      </c>
      <c r="M13" s="46">
        <f t="shared" si="6"/>
        <v>310.43599999999998</v>
      </c>
      <c r="N13" s="46">
        <f t="shared" si="6"/>
        <v>301.11900000000003</v>
      </c>
      <c r="O13" s="46">
        <f t="shared" si="6"/>
        <v>303.21300000000002</v>
      </c>
      <c r="P13" s="46">
        <f t="shared" si="6"/>
        <v>314.815</v>
      </c>
      <c r="Q13" s="46">
        <f t="shared" si="6"/>
        <v>324.19099999999997</v>
      </c>
      <c r="R13" s="46">
        <f t="shared" si="6"/>
        <v>310.90999999999997</v>
      </c>
      <c r="S13" s="47">
        <f t="shared" si="6"/>
        <v>333.61700000000002</v>
      </c>
      <c r="T13" s="47">
        <f t="shared" si="6"/>
        <v>340.96699999999998</v>
      </c>
      <c r="U13" s="47">
        <f t="shared" si="6"/>
        <v>354.64900000000006</v>
      </c>
      <c r="V13" s="46">
        <f t="shared" si="6"/>
        <v>366.00300000000004</v>
      </c>
      <c r="W13" s="46">
        <f t="shared" si="6"/>
        <v>378.20100000000002</v>
      </c>
      <c r="X13" s="46">
        <f t="shared" si="6"/>
        <v>389.51700000000005</v>
      </c>
      <c r="Y13" s="46">
        <f t="shared" si="6"/>
        <v>394.61600000000004</v>
      </c>
      <c r="Z13" s="46">
        <f t="shared" si="6"/>
        <v>392.327</v>
      </c>
      <c r="AA13" s="46">
        <f t="shared" si="6"/>
        <v>410.096</v>
      </c>
      <c r="AB13" s="46">
        <f t="shared" si="6"/>
        <v>408.55</v>
      </c>
      <c r="AC13" s="46">
        <f t="shared" si="6"/>
        <v>389.65300000000002</v>
      </c>
      <c r="AD13" s="46">
        <f t="shared" si="6"/>
        <v>405.80099999999999</v>
      </c>
      <c r="AE13" s="199">
        <f t="shared" si="6"/>
        <v>400.233</v>
      </c>
      <c r="AF13" s="199">
        <f t="shared" si="6"/>
        <v>384.65299999999996</v>
      </c>
      <c r="AG13" s="199">
        <f t="shared" si="6"/>
        <v>378.19200000000001</v>
      </c>
      <c r="AH13" s="133">
        <f t="shared" si="2"/>
        <v>0.98320304274241987</v>
      </c>
    </row>
    <row r="14" spans="1:38" s="53" customFormat="1" ht="14.25" customHeight="1" x14ac:dyDescent="0.2">
      <c r="A14" s="113" t="s">
        <v>37</v>
      </c>
      <c r="B14" s="49">
        <v>29.597999999999999</v>
      </c>
      <c r="C14" s="50">
        <f>38.8+0.33</f>
        <v>39.129999999999995</v>
      </c>
      <c r="D14" s="51">
        <f>43.7+0.4</f>
        <v>44.1</v>
      </c>
      <c r="E14" s="51">
        <f>41.1+1.21</f>
        <v>42.31</v>
      </c>
      <c r="F14" s="55">
        <f>47+1.23</f>
        <v>48.23</v>
      </c>
      <c r="G14" s="51">
        <v>51.506</v>
      </c>
      <c r="H14" s="51">
        <v>56.06</v>
      </c>
      <c r="I14" s="51">
        <v>59.978000000000002</v>
      </c>
      <c r="J14" s="51"/>
      <c r="K14" s="51">
        <v>59.424999999999997</v>
      </c>
      <c r="L14" s="51">
        <v>63.23</v>
      </c>
      <c r="M14" s="51">
        <v>64.756</v>
      </c>
      <c r="N14" s="51">
        <v>62.058</v>
      </c>
      <c r="O14" s="51">
        <v>62.832999999999998</v>
      </c>
      <c r="P14" s="51">
        <v>65.722999999999999</v>
      </c>
      <c r="Q14" s="51">
        <v>62.805</v>
      </c>
      <c r="R14" s="51">
        <v>62.673999999999999</v>
      </c>
      <c r="S14" s="51">
        <v>67.207999999999998</v>
      </c>
      <c r="T14" s="51">
        <v>68.623999999999995</v>
      </c>
      <c r="U14" s="51">
        <v>70.661000000000001</v>
      </c>
      <c r="V14" s="51">
        <v>71.858999999999995</v>
      </c>
      <c r="W14" s="51">
        <v>73.631</v>
      </c>
      <c r="X14" s="51">
        <v>77.665999999999997</v>
      </c>
      <c r="Y14" s="51">
        <v>79.415000000000006</v>
      </c>
      <c r="Z14" s="51">
        <v>78.95</v>
      </c>
      <c r="AA14" s="51">
        <v>79.62</v>
      </c>
      <c r="AB14" s="51">
        <v>80.902000000000001</v>
      </c>
      <c r="AC14" s="51">
        <v>77.19</v>
      </c>
      <c r="AD14" s="50">
        <v>80.686999999999998</v>
      </c>
      <c r="AE14" s="198">
        <v>77.98</v>
      </c>
      <c r="AF14" s="198">
        <v>73.676000000000002</v>
      </c>
      <c r="AG14" s="127">
        <v>69.393000000000001</v>
      </c>
      <c r="AH14" s="134">
        <f t="shared" si="2"/>
        <v>0.94186709376187627</v>
      </c>
    </row>
    <row r="15" spans="1:38" ht="14.25" customHeight="1" x14ac:dyDescent="0.2">
      <c r="A15" s="114" t="s">
        <v>31</v>
      </c>
      <c r="B15" s="15"/>
      <c r="C15" s="45">
        <f t="shared" ref="C15:I15" si="7">SUM(C13:C14)</f>
        <v>248.74</v>
      </c>
      <c r="D15" s="45">
        <f t="shared" si="7"/>
        <v>263.60000000000002</v>
      </c>
      <c r="E15" s="45">
        <f t="shared" si="7"/>
        <v>268.82</v>
      </c>
      <c r="F15" s="46">
        <f t="shared" si="7"/>
        <v>283.07</v>
      </c>
      <c r="G15" s="46">
        <f t="shared" si="7"/>
        <v>306.53599999999994</v>
      </c>
      <c r="H15" s="46">
        <f t="shared" si="7"/>
        <v>324.65000000000003</v>
      </c>
      <c r="I15" s="46">
        <f t="shared" si="7"/>
        <v>345.41500000000002</v>
      </c>
      <c r="J15" s="46"/>
      <c r="K15" s="46">
        <f t="shared" ref="K15:AG15" si="8">SUM(K13:K14)</f>
        <v>347.48200000000003</v>
      </c>
      <c r="L15" s="46">
        <f t="shared" si="8"/>
        <v>356.06799999999998</v>
      </c>
      <c r="M15" s="46">
        <f t="shared" si="8"/>
        <v>375.19200000000001</v>
      </c>
      <c r="N15" s="46">
        <f t="shared" si="8"/>
        <v>363.17700000000002</v>
      </c>
      <c r="O15" s="46">
        <f t="shared" si="8"/>
        <v>366.04600000000005</v>
      </c>
      <c r="P15" s="46">
        <f t="shared" si="8"/>
        <v>380.53800000000001</v>
      </c>
      <c r="Q15" s="46">
        <f t="shared" si="8"/>
        <v>386.99599999999998</v>
      </c>
      <c r="R15" s="46">
        <f t="shared" si="8"/>
        <v>373.58399999999995</v>
      </c>
      <c r="S15" s="47">
        <f t="shared" si="8"/>
        <v>400.82500000000005</v>
      </c>
      <c r="T15" s="47">
        <f t="shared" si="8"/>
        <v>409.59100000000001</v>
      </c>
      <c r="U15" s="47">
        <f t="shared" si="8"/>
        <v>425.31000000000006</v>
      </c>
      <c r="V15" s="46">
        <f t="shared" si="8"/>
        <v>437.86200000000002</v>
      </c>
      <c r="W15" s="46">
        <f t="shared" si="8"/>
        <v>451.83199999999999</v>
      </c>
      <c r="X15" s="46">
        <f t="shared" si="8"/>
        <v>467.18300000000005</v>
      </c>
      <c r="Y15" s="46">
        <f t="shared" si="8"/>
        <v>474.03100000000006</v>
      </c>
      <c r="Z15" s="46">
        <f t="shared" si="8"/>
        <v>471.27699999999999</v>
      </c>
      <c r="AA15" s="46">
        <f t="shared" si="8"/>
        <v>489.71600000000001</v>
      </c>
      <c r="AB15" s="46">
        <f t="shared" si="8"/>
        <v>489.452</v>
      </c>
      <c r="AC15" s="46">
        <f t="shared" si="8"/>
        <v>466.84300000000002</v>
      </c>
      <c r="AD15" s="46">
        <f t="shared" si="8"/>
        <v>486.488</v>
      </c>
      <c r="AE15" s="199">
        <f t="shared" si="8"/>
        <v>478.21300000000002</v>
      </c>
      <c r="AF15" s="199">
        <f t="shared" si="8"/>
        <v>458.32899999999995</v>
      </c>
      <c r="AG15" s="199">
        <f t="shared" si="8"/>
        <v>447.58500000000004</v>
      </c>
      <c r="AH15" s="133">
        <f t="shared" si="2"/>
        <v>0.97655832382415275</v>
      </c>
    </row>
    <row r="16" spans="1:38" s="53" customFormat="1" ht="14.25" customHeight="1" x14ac:dyDescent="0.2">
      <c r="A16" s="113" t="s">
        <v>36</v>
      </c>
      <c r="B16" s="98">
        <v>30.734999999999999</v>
      </c>
      <c r="C16" s="50">
        <f>42.5+0.38</f>
        <v>42.88</v>
      </c>
      <c r="D16" s="51">
        <f>42+0.33</f>
        <v>42.33</v>
      </c>
      <c r="E16" s="51">
        <f>43.6+1.07</f>
        <v>44.67</v>
      </c>
      <c r="F16" s="51">
        <f>50.8+1.36</f>
        <v>52.16</v>
      </c>
      <c r="G16" s="55">
        <v>51.73</v>
      </c>
      <c r="H16" s="51">
        <v>53.1</v>
      </c>
      <c r="I16" s="51">
        <v>56.441000000000003</v>
      </c>
      <c r="J16" s="51"/>
      <c r="K16" s="51">
        <v>55.375</v>
      </c>
      <c r="L16" s="51">
        <v>58.386000000000003</v>
      </c>
      <c r="M16" s="51">
        <v>60.911999999999999</v>
      </c>
      <c r="N16" s="51">
        <v>56.061999999999998</v>
      </c>
      <c r="O16" s="51">
        <v>57.762999999999998</v>
      </c>
      <c r="P16" s="51">
        <v>59.045999999999999</v>
      </c>
      <c r="Q16" s="51">
        <v>59.841999999999999</v>
      </c>
      <c r="R16" s="51">
        <v>59.9</v>
      </c>
      <c r="S16" s="51">
        <v>62.162999999999997</v>
      </c>
      <c r="T16" s="51">
        <v>61.63</v>
      </c>
      <c r="U16" s="51">
        <v>66.775999999999996</v>
      </c>
      <c r="V16" s="51">
        <v>68.471999999999994</v>
      </c>
      <c r="W16" s="51">
        <v>70.768000000000001</v>
      </c>
      <c r="X16" s="51">
        <v>72.668999999999997</v>
      </c>
      <c r="Y16" s="51">
        <v>73.102000000000004</v>
      </c>
      <c r="Z16" s="51">
        <v>75.021000000000001</v>
      </c>
      <c r="AA16" s="51">
        <v>76.143000000000001</v>
      </c>
      <c r="AB16" s="51">
        <v>78.453000000000003</v>
      </c>
      <c r="AC16" s="51">
        <v>75.448999999999998</v>
      </c>
      <c r="AD16" s="50">
        <v>77.28</v>
      </c>
      <c r="AE16" s="50">
        <v>72.924000000000007</v>
      </c>
      <c r="AF16" s="50">
        <v>68.956000000000003</v>
      </c>
      <c r="AG16" s="127"/>
      <c r="AH16" s="134">
        <f t="shared" si="2"/>
        <v>0</v>
      </c>
    </row>
    <row r="17" spans="1:38" ht="14.25" customHeight="1" x14ac:dyDescent="0.2">
      <c r="A17" s="114" t="s">
        <v>31</v>
      </c>
      <c r="B17" s="93">
        <f>SUM(B16)</f>
        <v>30.734999999999999</v>
      </c>
      <c r="C17" s="45">
        <f>SUM(C15:C16)</f>
        <v>291.62</v>
      </c>
      <c r="D17" s="45">
        <f>SUM(D15:D16)</f>
        <v>305.93</v>
      </c>
      <c r="E17" s="45">
        <f>SUM(E15:E16)</f>
        <v>313.49</v>
      </c>
      <c r="F17" s="46">
        <f>0+(SUM(F15:F16))</f>
        <v>335.23</v>
      </c>
      <c r="G17" s="46">
        <f>SUM(G15:G16)</f>
        <v>358.26599999999996</v>
      </c>
      <c r="H17" s="46">
        <f>SUM(H15:H16)</f>
        <v>377.75000000000006</v>
      </c>
      <c r="I17" s="46">
        <f>SUM(I15:I16)</f>
        <v>401.85599999999999</v>
      </c>
      <c r="J17" s="46"/>
      <c r="K17" s="46">
        <f t="shared" ref="K17:AF17" si="9">SUM(K15:K16)</f>
        <v>402.85700000000003</v>
      </c>
      <c r="L17" s="46">
        <f t="shared" si="9"/>
        <v>414.45400000000001</v>
      </c>
      <c r="M17" s="46">
        <f t="shared" si="9"/>
        <v>436.10399999999998</v>
      </c>
      <c r="N17" s="46">
        <f t="shared" si="9"/>
        <v>419.23900000000003</v>
      </c>
      <c r="O17" s="46">
        <f t="shared" si="9"/>
        <v>423.80900000000003</v>
      </c>
      <c r="P17" s="46">
        <f t="shared" si="9"/>
        <v>439.584</v>
      </c>
      <c r="Q17" s="46">
        <f t="shared" si="9"/>
        <v>446.83799999999997</v>
      </c>
      <c r="R17" s="46">
        <f t="shared" si="9"/>
        <v>433.48399999999992</v>
      </c>
      <c r="S17" s="46">
        <f t="shared" si="9"/>
        <v>462.98800000000006</v>
      </c>
      <c r="T17" s="46">
        <f t="shared" si="9"/>
        <v>471.221</v>
      </c>
      <c r="U17" s="47">
        <f t="shared" si="9"/>
        <v>492.08600000000007</v>
      </c>
      <c r="V17" s="46">
        <f t="shared" si="9"/>
        <v>506.334</v>
      </c>
      <c r="W17" s="46">
        <f t="shared" si="9"/>
        <v>522.6</v>
      </c>
      <c r="X17" s="46">
        <f t="shared" si="9"/>
        <v>539.85200000000009</v>
      </c>
      <c r="Y17" s="46">
        <f t="shared" si="9"/>
        <v>547.13300000000004</v>
      </c>
      <c r="Z17" s="46">
        <f t="shared" si="9"/>
        <v>546.298</v>
      </c>
      <c r="AA17" s="46">
        <f t="shared" si="9"/>
        <v>565.85900000000004</v>
      </c>
      <c r="AB17" s="46">
        <f t="shared" si="9"/>
        <v>567.90499999999997</v>
      </c>
      <c r="AC17" s="46">
        <f t="shared" si="9"/>
        <v>542.29200000000003</v>
      </c>
      <c r="AD17" s="46">
        <f t="shared" si="9"/>
        <v>563.76800000000003</v>
      </c>
      <c r="AE17" s="46">
        <f t="shared" si="9"/>
        <v>551.13700000000006</v>
      </c>
      <c r="AF17" s="46">
        <f t="shared" si="9"/>
        <v>527.28499999999997</v>
      </c>
      <c r="AG17" s="97"/>
      <c r="AH17" s="133">
        <f t="shared" si="2"/>
        <v>0</v>
      </c>
    </row>
    <row r="18" spans="1:38" s="53" customFormat="1" ht="14.25" customHeight="1" x14ac:dyDescent="0.2">
      <c r="A18" s="113" t="s">
        <v>35</v>
      </c>
      <c r="B18" s="98">
        <v>30.13</v>
      </c>
      <c r="C18" s="50">
        <f>40.5+0.51</f>
        <v>41.01</v>
      </c>
      <c r="D18" s="51">
        <f>42.5+0.45</f>
        <v>42.95</v>
      </c>
      <c r="E18" s="51">
        <f>40.7+1.04</f>
        <v>41.74</v>
      </c>
      <c r="F18" s="55">
        <f>45+1.21</f>
        <v>46.21</v>
      </c>
      <c r="G18" s="51">
        <v>48.75</v>
      </c>
      <c r="H18" s="51">
        <v>51.99</v>
      </c>
      <c r="I18" s="51">
        <v>55.366</v>
      </c>
      <c r="J18" s="51"/>
      <c r="K18" s="51">
        <v>54.634999999999998</v>
      </c>
      <c r="L18" s="51">
        <v>57.174999999999997</v>
      </c>
      <c r="M18" s="51">
        <v>58.366</v>
      </c>
      <c r="N18" s="51">
        <v>58.082000000000001</v>
      </c>
      <c r="O18" s="51">
        <v>58.052999999999997</v>
      </c>
      <c r="P18" s="51">
        <v>60.707000000000001</v>
      </c>
      <c r="Q18" s="51">
        <v>57.948</v>
      </c>
      <c r="R18" s="51">
        <v>58.317999999999998</v>
      </c>
      <c r="S18" s="51">
        <v>62.81</v>
      </c>
      <c r="T18" s="51">
        <v>63.947000000000003</v>
      </c>
      <c r="U18" s="51">
        <v>69.131</v>
      </c>
      <c r="V18" s="51">
        <v>69.123999999999995</v>
      </c>
      <c r="W18" s="51">
        <v>69.900999999999996</v>
      </c>
      <c r="X18" s="51">
        <v>73.188000000000002</v>
      </c>
      <c r="Y18" s="51">
        <v>74.578999999999994</v>
      </c>
      <c r="Z18" s="51">
        <v>77.373000000000005</v>
      </c>
      <c r="AA18" s="51">
        <v>77.658000000000001</v>
      </c>
      <c r="AB18" s="51">
        <v>79.418000000000006</v>
      </c>
      <c r="AC18" s="51">
        <v>74.647000000000006</v>
      </c>
      <c r="AD18" s="50">
        <v>76.203999999999994</v>
      </c>
      <c r="AE18" s="50">
        <v>72.72</v>
      </c>
      <c r="AF18" s="50">
        <v>70.757000000000005</v>
      </c>
      <c r="AG18" s="127"/>
      <c r="AH18" s="134">
        <f t="shared" si="2"/>
        <v>0</v>
      </c>
    </row>
    <row r="19" spans="1:38" ht="14.25" customHeight="1" x14ac:dyDescent="0.2">
      <c r="A19" s="114" t="s">
        <v>31</v>
      </c>
      <c r="B19" s="93">
        <f>SUM(B17:B18)</f>
        <v>60.864999999999995</v>
      </c>
      <c r="C19" s="45">
        <f>SUM(C17:C18)</f>
        <v>332.63</v>
      </c>
      <c r="D19" s="45">
        <f>SUM(D17:D18)</f>
        <v>348.88</v>
      </c>
      <c r="E19" s="45">
        <f>SUM(E17:E18)</f>
        <v>355.23</v>
      </c>
      <c r="F19" s="46">
        <f>0+(SUM(F17:F18))</f>
        <v>381.44</v>
      </c>
      <c r="G19" s="46">
        <f>SUM(G17:G18)</f>
        <v>407.01599999999996</v>
      </c>
      <c r="H19" s="46">
        <f>SUM(H17:H18)</f>
        <v>429.74000000000007</v>
      </c>
      <c r="I19" s="46">
        <f>SUM(I17:I18)</f>
        <v>457.22199999999998</v>
      </c>
      <c r="J19" s="46"/>
      <c r="K19" s="46">
        <f t="shared" ref="K19:Z19" si="10">SUM(K17:K18)</f>
        <v>457.49200000000002</v>
      </c>
      <c r="L19" s="46">
        <f t="shared" si="10"/>
        <v>471.62900000000002</v>
      </c>
      <c r="M19" s="46">
        <f t="shared" si="10"/>
        <v>494.46999999999997</v>
      </c>
      <c r="N19" s="46">
        <f t="shared" si="10"/>
        <v>477.32100000000003</v>
      </c>
      <c r="O19" s="46">
        <f t="shared" si="10"/>
        <v>481.86200000000002</v>
      </c>
      <c r="P19" s="46">
        <f t="shared" si="10"/>
        <v>500.291</v>
      </c>
      <c r="Q19" s="46">
        <f t="shared" si="10"/>
        <v>504.78599999999994</v>
      </c>
      <c r="R19" s="46">
        <f t="shared" si="10"/>
        <v>491.80199999999991</v>
      </c>
      <c r="S19" s="46">
        <f t="shared" si="10"/>
        <v>525.798</v>
      </c>
      <c r="T19" s="46">
        <f t="shared" si="10"/>
        <v>535.16800000000001</v>
      </c>
      <c r="U19" s="47">
        <f t="shared" si="10"/>
        <v>561.2170000000001</v>
      </c>
      <c r="V19" s="46">
        <f t="shared" si="10"/>
        <v>575.45799999999997</v>
      </c>
      <c r="W19" s="46">
        <f t="shared" si="10"/>
        <v>592.50099999999998</v>
      </c>
      <c r="X19" s="46">
        <f t="shared" si="10"/>
        <v>613.04000000000008</v>
      </c>
      <c r="Y19" s="46">
        <f t="shared" si="10"/>
        <v>621.71199999999999</v>
      </c>
      <c r="Z19" s="46">
        <f t="shared" si="10"/>
        <v>623.67100000000005</v>
      </c>
      <c r="AA19" s="46">
        <f t="shared" ref="AA19:AF19" si="11">SUM(AA17+AA18)</f>
        <v>643.51700000000005</v>
      </c>
      <c r="AB19" s="46">
        <f t="shared" si="11"/>
        <v>647.32299999999998</v>
      </c>
      <c r="AC19" s="46">
        <f t="shared" si="11"/>
        <v>616.93900000000008</v>
      </c>
      <c r="AD19" s="46">
        <f t="shared" si="11"/>
        <v>639.97199999999998</v>
      </c>
      <c r="AE19" s="46">
        <f t="shared" si="11"/>
        <v>623.85700000000008</v>
      </c>
      <c r="AF19" s="46">
        <f t="shared" si="11"/>
        <v>598.04199999999992</v>
      </c>
      <c r="AG19" s="97"/>
      <c r="AH19" s="133">
        <f t="shared" si="2"/>
        <v>0</v>
      </c>
      <c r="AL19" s="14"/>
    </row>
    <row r="20" spans="1:38" s="53" customFormat="1" ht="14.25" customHeight="1" x14ac:dyDescent="0.2">
      <c r="A20" s="113" t="s">
        <v>34</v>
      </c>
      <c r="B20" s="98">
        <v>28.919</v>
      </c>
      <c r="C20" s="50">
        <f>37.97+0.32</f>
        <v>38.29</v>
      </c>
      <c r="D20" s="51">
        <f>39.5+0.42</f>
        <v>39.92</v>
      </c>
      <c r="E20" s="51">
        <f>41.5+1.04</f>
        <v>42.54</v>
      </c>
      <c r="F20" s="55">
        <f>47.2+1.48</f>
        <v>48.68</v>
      </c>
      <c r="G20" s="51">
        <v>50.087000000000003</v>
      </c>
      <c r="H20" s="51">
        <v>53.978000000000002</v>
      </c>
      <c r="I20" s="51">
        <v>57.04</v>
      </c>
      <c r="J20" s="51">
        <v>56</v>
      </c>
      <c r="K20" s="51">
        <v>54.756</v>
      </c>
      <c r="L20" s="51">
        <v>59.271000000000001</v>
      </c>
      <c r="M20" s="51">
        <v>60.232999999999997</v>
      </c>
      <c r="N20" s="51">
        <v>58.805999999999997</v>
      </c>
      <c r="O20" s="51">
        <v>59.302999999999997</v>
      </c>
      <c r="P20" s="51">
        <v>60.54</v>
      </c>
      <c r="Q20" s="51">
        <v>61.920999999999999</v>
      </c>
      <c r="R20" s="51">
        <v>59.463000000000001</v>
      </c>
      <c r="S20" s="51">
        <v>65.545000000000002</v>
      </c>
      <c r="T20" s="51">
        <v>66.274000000000001</v>
      </c>
      <c r="U20" s="51">
        <v>70.438999999999993</v>
      </c>
      <c r="V20" s="51">
        <v>72.260999999999996</v>
      </c>
      <c r="W20" s="51">
        <v>74.081999999999994</v>
      </c>
      <c r="X20" s="51">
        <v>74.757000000000005</v>
      </c>
      <c r="Y20" s="51">
        <v>75.778999999999996</v>
      </c>
      <c r="Z20" s="51">
        <v>76.519000000000005</v>
      </c>
      <c r="AA20" s="51">
        <v>77.134</v>
      </c>
      <c r="AB20" s="51">
        <v>79.241</v>
      </c>
      <c r="AC20" s="51">
        <v>76.031999999999996</v>
      </c>
      <c r="AD20" s="50">
        <v>77.703999999999994</v>
      </c>
      <c r="AE20" s="50">
        <v>75.278000000000006</v>
      </c>
      <c r="AF20" s="50">
        <v>71.266999999999996</v>
      </c>
      <c r="AG20" s="127"/>
      <c r="AH20" s="134">
        <f t="shared" si="2"/>
        <v>0</v>
      </c>
    </row>
    <row r="21" spans="1:38" ht="14.25" customHeight="1" x14ac:dyDescent="0.2">
      <c r="A21" s="114" t="s">
        <v>31</v>
      </c>
      <c r="B21" s="93">
        <f t="shared" ref="B21:I21" si="12">SUM(B19:B20)</f>
        <v>89.783999999999992</v>
      </c>
      <c r="C21" s="45">
        <f t="shared" si="12"/>
        <v>370.92</v>
      </c>
      <c r="D21" s="45">
        <f t="shared" si="12"/>
        <v>388.8</v>
      </c>
      <c r="E21" s="45">
        <f t="shared" si="12"/>
        <v>397.77000000000004</v>
      </c>
      <c r="F21" s="46">
        <f t="shared" si="12"/>
        <v>430.12</v>
      </c>
      <c r="G21" s="46">
        <f t="shared" si="12"/>
        <v>457.10299999999995</v>
      </c>
      <c r="H21" s="46">
        <f t="shared" si="12"/>
        <v>483.71800000000007</v>
      </c>
      <c r="I21" s="46">
        <f t="shared" si="12"/>
        <v>514.26199999999994</v>
      </c>
      <c r="J21" s="46"/>
      <c r="K21" s="46">
        <f t="shared" ref="K21:AF21" si="13">SUM(K19:K20)</f>
        <v>512.24800000000005</v>
      </c>
      <c r="L21" s="46">
        <f t="shared" si="13"/>
        <v>530.9</v>
      </c>
      <c r="M21" s="46">
        <f t="shared" si="13"/>
        <v>554.70299999999997</v>
      </c>
      <c r="N21" s="46">
        <f t="shared" si="13"/>
        <v>536.12700000000007</v>
      </c>
      <c r="O21" s="46">
        <f t="shared" si="13"/>
        <v>541.16499999999996</v>
      </c>
      <c r="P21" s="46">
        <f t="shared" si="13"/>
        <v>560.83100000000002</v>
      </c>
      <c r="Q21" s="46">
        <f t="shared" si="13"/>
        <v>566.70699999999999</v>
      </c>
      <c r="R21" s="46">
        <f t="shared" si="13"/>
        <v>551.26499999999987</v>
      </c>
      <c r="S21" s="46">
        <f t="shared" si="13"/>
        <v>591.34299999999996</v>
      </c>
      <c r="T21" s="46">
        <f t="shared" si="13"/>
        <v>601.44200000000001</v>
      </c>
      <c r="U21" s="47">
        <f t="shared" si="13"/>
        <v>631.65600000000006</v>
      </c>
      <c r="V21" s="46">
        <f t="shared" si="13"/>
        <v>647.71899999999994</v>
      </c>
      <c r="W21" s="46">
        <f t="shared" si="13"/>
        <v>666.58299999999997</v>
      </c>
      <c r="X21" s="46">
        <f t="shared" si="13"/>
        <v>687.79700000000003</v>
      </c>
      <c r="Y21" s="46">
        <f t="shared" si="13"/>
        <v>697.49099999999999</v>
      </c>
      <c r="Z21" s="46">
        <f t="shared" si="13"/>
        <v>700.19</v>
      </c>
      <c r="AA21" s="46">
        <f t="shared" si="13"/>
        <v>720.65100000000007</v>
      </c>
      <c r="AB21" s="46">
        <f t="shared" si="13"/>
        <v>726.56399999999996</v>
      </c>
      <c r="AC21" s="46">
        <f t="shared" si="13"/>
        <v>692.97100000000012</v>
      </c>
      <c r="AD21" s="46">
        <f t="shared" si="13"/>
        <v>717.67599999999993</v>
      </c>
      <c r="AE21" s="46">
        <f t="shared" si="13"/>
        <v>699.1350000000001</v>
      </c>
      <c r="AF21" s="46">
        <f t="shared" si="13"/>
        <v>669.30899999999997</v>
      </c>
      <c r="AG21" s="97"/>
      <c r="AH21" s="133">
        <f t="shared" si="2"/>
        <v>0</v>
      </c>
    </row>
    <row r="22" spans="1:38" s="53" customFormat="1" ht="14.25" customHeight="1" x14ac:dyDescent="0.2">
      <c r="A22" s="113" t="s">
        <v>33</v>
      </c>
      <c r="B22" s="98">
        <v>31.588000000000001</v>
      </c>
      <c r="C22" s="50">
        <f>40.1+0.27</f>
        <v>40.370000000000005</v>
      </c>
      <c r="D22" s="51">
        <f>42.1+0.37</f>
        <v>42.47</v>
      </c>
      <c r="E22" s="51">
        <f>44+0.68</f>
        <v>44.68</v>
      </c>
      <c r="F22" s="55">
        <f>48+1.54</f>
        <v>49.54</v>
      </c>
      <c r="G22" s="51">
        <v>51.85</v>
      </c>
      <c r="H22" s="51">
        <v>53.55</v>
      </c>
      <c r="I22" s="51">
        <v>56.381999999999998</v>
      </c>
      <c r="J22" s="51">
        <v>55.500999999999998</v>
      </c>
      <c r="K22" s="51">
        <v>57.771999999999998</v>
      </c>
      <c r="L22" s="51">
        <v>60.356999999999999</v>
      </c>
      <c r="M22" s="51">
        <v>59.081000000000003</v>
      </c>
      <c r="N22" s="51">
        <v>57.401000000000003</v>
      </c>
      <c r="O22" s="51">
        <v>59.265999999999998</v>
      </c>
      <c r="P22" s="51">
        <v>59.654000000000003</v>
      </c>
      <c r="Q22" s="51">
        <v>61.834000000000003</v>
      </c>
      <c r="R22" s="51">
        <v>60.448</v>
      </c>
      <c r="S22" s="51">
        <v>64.724999999999994</v>
      </c>
      <c r="T22" s="51">
        <v>66.055999999999997</v>
      </c>
      <c r="U22" s="51">
        <v>69.870999999999995</v>
      </c>
      <c r="V22" s="51">
        <v>77.688999999999993</v>
      </c>
      <c r="W22" s="51">
        <v>75.171999999999997</v>
      </c>
      <c r="X22" s="51">
        <v>75.894000000000005</v>
      </c>
      <c r="Y22" s="51">
        <v>75.117000000000004</v>
      </c>
      <c r="Z22" s="51">
        <v>78.221000000000004</v>
      </c>
      <c r="AA22" s="51">
        <v>80.105999999999995</v>
      </c>
      <c r="AB22" s="51">
        <v>80.381</v>
      </c>
      <c r="AC22" s="51">
        <v>77.688000000000002</v>
      </c>
      <c r="AD22" s="50">
        <v>78.545000000000002</v>
      </c>
      <c r="AE22" s="50">
        <v>75.917000000000002</v>
      </c>
      <c r="AF22" s="50">
        <v>73.006</v>
      </c>
      <c r="AG22" s="127"/>
      <c r="AH22" s="134">
        <f t="shared" si="2"/>
        <v>0</v>
      </c>
    </row>
    <row r="23" spans="1:38" ht="14.25" customHeight="1" x14ac:dyDescent="0.2">
      <c r="A23" s="114" t="s">
        <v>31</v>
      </c>
      <c r="B23" s="93">
        <f t="shared" ref="B23:I23" si="14">SUM(B21:B22)</f>
        <v>121.37199999999999</v>
      </c>
      <c r="C23" s="45">
        <f t="shared" si="14"/>
        <v>411.29</v>
      </c>
      <c r="D23" s="45">
        <f t="shared" si="14"/>
        <v>431.27</v>
      </c>
      <c r="E23" s="45">
        <f t="shared" si="14"/>
        <v>442.45000000000005</v>
      </c>
      <c r="F23" s="46">
        <f t="shared" si="14"/>
        <v>479.66</v>
      </c>
      <c r="G23" s="46">
        <f t="shared" si="14"/>
        <v>508.95299999999997</v>
      </c>
      <c r="H23" s="46">
        <f t="shared" si="14"/>
        <v>537.26800000000003</v>
      </c>
      <c r="I23" s="46">
        <f t="shared" si="14"/>
        <v>570.64399999999989</v>
      </c>
      <c r="J23" s="46"/>
      <c r="K23" s="46">
        <f t="shared" ref="K23:AF23" si="15">SUM(K21:K22)</f>
        <v>570.0200000000001</v>
      </c>
      <c r="L23" s="46">
        <f t="shared" si="15"/>
        <v>591.25699999999995</v>
      </c>
      <c r="M23" s="46">
        <f t="shared" si="15"/>
        <v>613.78399999999999</v>
      </c>
      <c r="N23" s="46">
        <f t="shared" si="15"/>
        <v>593.52800000000002</v>
      </c>
      <c r="O23" s="46">
        <f t="shared" si="15"/>
        <v>600.43099999999993</v>
      </c>
      <c r="P23" s="46">
        <f t="shared" si="15"/>
        <v>620.48500000000001</v>
      </c>
      <c r="Q23" s="46">
        <f t="shared" si="15"/>
        <v>628.54099999999994</v>
      </c>
      <c r="R23" s="46">
        <f t="shared" si="15"/>
        <v>611.71299999999985</v>
      </c>
      <c r="S23" s="46">
        <f t="shared" si="15"/>
        <v>656.06799999999998</v>
      </c>
      <c r="T23" s="46">
        <f t="shared" si="15"/>
        <v>667.49800000000005</v>
      </c>
      <c r="U23" s="47">
        <f t="shared" si="15"/>
        <v>701.52700000000004</v>
      </c>
      <c r="V23" s="46">
        <f t="shared" si="15"/>
        <v>725.4079999999999</v>
      </c>
      <c r="W23" s="46">
        <f t="shared" si="15"/>
        <v>741.755</v>
      </c>
      <c r="X23" s="46">
        <f t="shared" si="15"/>
        <v>763.69100000000003</v>
      </c>
      <c r="Y23" s="46">
        <f t="shared" si="15"/>
        <v>772.60799999999995</v>
      </c>
      <c r="Z23" s="46">
        <f t="shared" si="15"/>
        <v>778.41100000000006</v>
      </c>
      <c r="AA23" s="46">
        <f t="shared" si="15"/>
        <v>800.75700000000006</v>
      </c>
      <c r="AB23" s="46">
        <f t="shared" si="15"/>
        <v>806.94499999999994</v>
      </c>
      <c r="AC23" s="46">
        <f t="shared" si="15"/>
        <v>770.65900000000011</v>
      </c>
      <c r="AD23" s="46">
        <f t="shared" si="15"/>
        <v>796.22099999999989</v>
      </c>
      <c r="AE23" s="46">
        <f t="shared" si="15"/>
        <v>775.05200000000013</v>
      </c>
      <c r="AF23" s="46">
        <f t="shared" si="15"/>
        <v>742.31499999999994</v>
      </c>
      <c r="AG23" s="97"/>
      <c r="AH23" s="133">
        <f t="shared" si="2"/>
        <v>0</v>
      </c>
    </row>
    <row r="24" spans="1:38" s="53" customFormat="1" ht="14.25" customHeight="1" x14ac:dyDescent="0.2">
      <c r="A24" s="113" t="s">
        <v>32</v>
      </c>
      <c r="B24" s="98">
        <v>30.951000000000001</v>
      </c>
      <c r="C24" s="50">
        <f>39.1+0.42</f>
        <v>39.520000000000003</v>
      </c>
      <c r="D24" s="51">
        <f>41.9+0.46</f>
        <v>42.36</v>
      </c>
      <c r="E24" s="51">
        <v>42.63</v>
      </c>
      <c r="F24" s="51">
        <f>46.9+1.31</f>
        <v>48.21</v>
      </c>
      <c r="G24" s="51">
        <v>50.99</v>
      </c>
      <c r="H24" s="51">
        <v>53.433999999999997</v>
      </c>
      <c r="I24" s="51">
        <v>55.304000000000002</v>
      </c>
      <c r="J24" s="51">
        <v>53.536000000000001</v>
      </c>
      <c r="K24" s="51">
        <v>55.924999999999997</v>
      </c>
      <c r="L24" s="51">
        <v>59.384</v>
      </c>
      <c r="M24" s="51">
        <v>60.154000000000003</v>
      </c>
      <c r="N24" s="51">
        <v>59.722000000000001</v>
      </c>
      <c r="O24" s="51">
        <v>60.088999999999999</v>
      </c>
      <c r="P24" s="51">
        <v>61.69</v>
      </c>
      <c r="Q24" s="51">
        <v>60.253</v>
      </c>
      <c r="R24" s="51">
        <v>61.33</v>
      </c>
      <c r="S24" s="51">
        <v>66.436999999999998</v>
      </c>
      <c r="T24" s="51">
        <v>68.182000000000002</v>
      </c>
      <c r="U24" s="51">
        <v>69.346000000000004</v>
      </c>
      <c r="V24" s="51">
        <v>73.114000000000004</v>
      </c>
      <c r="W24" s="51">
        <v>72.698999999999998</v>
      </c>
      <c r="X24" s="51">
        <v>75.266000000000005</v>
      </c>
      <c r="Y24" s="51">
        <v>77.067999999999998</v>
      </c>
      <c r="Z24" s="51">
        <v>80.853999999999999</v>
      </c>
      <c r="AA24" s="51">
        <v>80.572000000000003</v>
      </c>
      <c r="AB24" s="51">
        <v>82.009</v>
      </c>
      <c r="AC24" s="51">
        <v>76.007999999999996</v>
      </c>
      <c r="AD24" s="50">
        <v>77.534000000000006</v>
      </c>
      <c r="AE24" s="50">
        <v>78.308000000000007</v>
      </c>
      <c r="AF24" s="50">
        <v>74.599999999999994</v>
      </c>
      <c r="AG24" s="127"/>
      <c r="AH24" s="134">
        <f t="shared" si="2"/>
        <v>0</v>
      </c>
    </row>
    <row r="25" spans="1:38" ht="14.25" customHeight="1" x14ac:dyDescent="0.2">
      <c r="A25" s="114" t="s">
        <v>31</v>
      </c>
      <c r="B25" s="93">
        <f t="shared" ref="B25:I25" si="16">SUM(B23:B24)</f>
        <v>152.32299999999998</v>
      </c>
      <c r="C25" s="45">
        <f t="shared" si="16"/>
        <v>450.81</v>
      </c>
      <c r="D25" s="45">
        <f t="shared" si="16"/>
        <v>473.63</v>
      </c>
      <c r="E25" s="45">
        <f t="shared" si="16"/>
        <v>485.08000000000004</v>
      </c>
      <c r="F25" s="46">
        <f t="shared" si="16"/>
        <v>527.87</v>
      </c>
      <c r="G25" s="46">
        <f t="shared" si="16"/>
        <v>559.94299999999998</v>
      </c>
      <c r="H25" s="46">
        <f t="shared" si="16"/>
        <v>590.702</v>
      </c>
      <c r="I25" s="46">
        <f t="shared" si="16"/>
        <v>625.94799999999987</v>
      </c>
      <c r="J25" s="46"/>
      <c r="K25" s="46">
        <f t="shared" ref="K25:AF25" si="17">SUM(K23:K24)</f>
        <v>625.94500000000005</v>
      </c>
      <c r="L25" s="46">
        <f t="shared" si="17"/>
        <v>650.64099999999996</v>
      </c>
      <c r="M25" s="46">
        <f t="shared" si="17"/>
        <v>673.93799999999999</v>
      </c>
      <c r="N25" s="46">
        <f t="shared" si="17"/>
        <v>653.25</v>
      </c>
      <c r="O25" s="46">
        <f t="shared" si="17"/>
        <v>660.52</v>
      </c>
      <c r="P25" s="46">
        <f t="shared" si="17"/>
        <v>682.17499999999995</v>
      </c>
      <c r="Q25" s="46">
        <f t="shared" si="17"/>
        <v>688.79399999999998</v>
      </c>
      <c r="R25" s="46">
        <f t="shared" si="17"/>
        <v>673.04299999999989</v>
      </c>
      <c r="S25" s="46">
        <f t="shared" si="17"/>
        <v>722.505</v>
      </c>
      <c r="T25" s="46">
        <f t="shared" si="17"/>
        <v>735.68000000000006</v>
      </c>
      <c r="U25" s="47">
        <f t="shared" si="17"/>
        <v>770.87300000000005</v>
      </c>
      <c r="V25" s="47">
        <f t="shared" si="17"/>
        <v>798.52199999999993</v>
      </c>
      <c r="W25" s="47">
        <f t="shared" si="17"/>
        <v>814.45399999999995</v>
      </c>
      <c r="X25" s="47">
        <f t="shared" si="17"/>
        <v>838.95699999999999</v>
      </c>
      <c r="Y25" s="47">
        <f t="shared" si="17"/>
        <v>849.67599999999993</v>
      </c>
      <c r="Z25" s="47">
        <f t="shared" si="17"/>
        <v>859.2650000000001</v>
      </c>
      <c r="AA25" s="47">
        <f t="shared" si="17"/>
        <v>881.32900000000006</v>
      </c>
      <c r="AB25" s="47">
        <f t="shared" si="17"/>
        <v>888.95399999999995</v>
      </c>
      <c r="AC25" s="47">
        <f t="shared" si="17"/>
        <v>846.66700000000014</v>
      </c>
      <c r="AD25" s="47">
        <f t="shared" si="17"/>
        <v>873.75499999999988</v>
      </c>
      <c r="AE25" s="47">
        <f t="shared" si="17"/>
        <v>853.36000000000013</v>
      </c>
      <c r="AF25" s="47">
        <f t="shared" si="17"/>
        <v>816.91499999999996</v>
      </c>
      <c r="AG25" s="107"/>
      <c r="AH25" s="133">
        <f t="shared" si="2"/>
        <v>0</v>
      </c>
    </row>
    <row r="26" spans="1:38" s="53" customFormat="1" ht="14.25" customHeight="1" x14ac:dyDescent="0.2">
      <c r="A26" s="115" t="s">
        <v>30</v>
      </c>
      <c r="B26" s="108">
        <v>33.200000000000003</v>
      </c>
      <c r="C26" s="60">
        <f>42.7+0.45</f>
        <v>43.150000000000006</v>
      </c>
      <c r="D26" s="61">
        <f>40.9+0.49</f>
        <v>41.39</v>
      </c>
      <c r="E26" s="61">
        <f>43.2+0.86</f>
        <v>44.06</v>
      </c>
      <c r="F26" s="61">
        <f>50.6+1.68</f>
        <v>52.28</v>
      </c>
      <c r="G26" s="61">
        <v>53.66</v>
      </c>
      <c r="H26" s="61">
        <v>58.567999999999998</v>
      </c>
      <c r="I26" s="61">
        <v>60.856999999999999</v>
      </c>
      <c r="J26" s="61">
        <f>SUM(60.179+0.375)</f>
        <v>60.554000000000002</v>
      </c>
      <c r="K26" s="61">
        <v>63.83</v>
      </c>
      <c r="L26" s="61">
        <v>66.010000000000005</v>
      </c>
      <c r="M26" s="61">
        <v>65.701999999999998</v>
      </c>
      <c r="N26" s="61">
        <v>66.096000000000004</v>
      </c>
      <c r="O26" s="61">
        <v>66.802999999999997</v>
      </c>
      <c r="P26" s="61">
        <v>69.748999999999995</v>
      </c>
      <c r="Q26" s="61">
        <v>66.150000000000006</v>
      </c>
      <c r="R26" s="61">
        <v>68.337999999999994</v>
      </c>
      <c r="S26" s="61">
        <v>73.602999999999994</v>
      </c>
      <c r="T26" s="61">
        <v>74.453000000000003</v>
      </c>
      <c r="U26" s="61">
        <v>77.733999999999995</v>
      </c>
      <c r="V26" s="61">
        <v>80.341999999999999</v>
      </c>
      <c r="W26" s="61">
        <v>82.941999999999993</v>
      </c>
      <c r="X26" s="61">
        <v>86.010999999999996</v>
      </c>
      <c r="Y26" s="61">
        <v>81.828999999999994</v>
      </c>
      <c r="Z26" s="61">
        <v>86.108000000000004</v>
      </c>
      <c r="AA26" s="61">
        <v>84.733000000000004</v>
      </c>
      <c r="AB26" s="61">
        <v>90.344999999999999</v>
      </c>
      <c r="AC26" s="61">
        <v>80.611000000000004</v>
      </c>
      <c r="AD26" s="60">
        <v>83.924000000000007</v>
      </c>
      <c r="AE26" s="60">
        <v>82.503</v>
      </c>
      <c r="AF26" s="60">
        <v>79.5</v>
      </c>
      <c r="AG26" s="130"/>
      <c r="AH26" s="135">
        <f t="shared" si="2"/>
        <v>0</v>
      </c>
    </row>
    <row r="27" spans="1:38" ht="24.75" customHeight="1" x14ac:dyDescent="0.2">
      <c r="A27" s="147" t="s">
        <v>29</v>
      </c>
      <c r="B27" s="162">
        <f t="shared" ref="B27:G27" si="18">SUM(B25:B26)</f>
        <v>185.52299999999997</v>
      </c>
      <c r="C27" s="149">
        <f t="shared" si="18"/>
        <v>493.96000000000004</v>
      </c>
      <c r="D27" s="149">
        <f t="shared" si="18"/>
        <v>515.02</v>
      </c>
      <c r="E27" s="149">
        <f t="shared" si="18"/>
        <v>529.1400000000001</v>
      </c>
      <c r="F27" s="149">
        <f t="shared" si="18"/>
        <v>580.15</v>
      </c>
      <c r="G27" s="149">
        <f t="shared" si="18"/>
        <v>613.60299999999995</v>
      </c>
      <c r="H27" s="149">
        <f>H4+H6+H8+H10+H12+H14+H16+H18+H20+H22+H24+H26</f>
        <v>649.27</v>
      </c>
      <c r="I27" s="149">
        <f>I4+I6+I8+I10+I12+I14+I16+I18+I20+I22+I24+I26</f>
        <v>686.80499999999984</v>
      </c>
      <c r="J27" s="150">
        <v>675.42</v>
      </c>
      <c r="K27" s="149">
        <f t="shared" ref="K27:AF27" si="19">K4+K6+K8+K10+K12+K14+K16+K18+K20+K22+K24+K26</f>
        <v>689.77500000000009</v>
      </c>
      <c r="L27" s="149">
        <f t="shared" si="19"/>
        <v>716.65099999999995</v>
      </c>
      <c r="M27" s="149">
        <f t="shared" si="19"/>
        <v>739.64</v>
      </c>
      <c r="N27" s="149">
        <f t="shared" si="19"/>
        <v>719.346</v>
      </c>
      <c r="O27" s="149">
        <f t="shared" si="19"/>
        <v>727.32299999999998</v>
      </c>
      <c r="P27" s="149">
        <f t="shared" si="19"/>
        <v>751.92399999999998</v>
      </c>
      <c r="Q27" s="149">
        <f t="shared" si="19"/>
        <v>754.94399999999996</v>
      </c>
      <c r="R27" s="149">
        <f t="shared" si="19"/>
        <v>741.38099999999986</v>
      </c>
      <c r="S27" s="149">
        <f t="shared" si="19"/>
        <v>796.10799999999995</v>
      </c>
      <c r="T27" s="149">
        <f t="shared" si="19"/>
        <v>810.13300000000004</v>
      </c>
      <c r="U27" s="149">
        <f t="shared" si="19"/>
        <v>848.60700000000008</v>
      </c>
      <c r="V27" s="149">
        <f t="shared" si="19"/>
        <v>878.86399999999992</v>
      </c>
      <c r="W27" s="149">
        <f t="shared" si="19"/>
        <v>897.39599999999996</v>
      </c>
      <c r="X27" s="149">
        <f t="shared" si="19"/>
        <v>924.96799999999996</v>
      </c>
      <c r="Y27" s="149">
        <f t="shared" si="19"/>
        <v>931.50499999999988</v>
      </c>
      <c r="Z27" s="149">
        <f t="shared" si="19"/>
        <v>945.37300000000005</v>
      </c>
      <c r="AA27" s="149">
        <f t="shared" si="19"/>
        <v>966.06200000000013</v>
      </c>
      <c r="AB27" s="149">
        <f t="shared" si="19"/>
        <v>979.29899999999998</v>
      </c>
      <c r="AC27" s="149">
        <f t="shared" si="19"/>
        <v>927.27800000000013</v>
      </c>
      <c r="AD27" s="149">
        <f t="shared" si="19"/>
        <v>957.67899999999986</v>
      </c>
      <c r="AE27" s="149">
        <f t="shared" si="19"/>
        <v>935.86300000000017</v>
      </c>
      <c r="AF27" s="149">
        <f t="shared" si="19"/>
        <v>896.41499999999996</v>
      </c>
      <c r="AG27" s="162">
        <f>SUM(AF27*AH15)</f>
        <v>875.40152985082784</v>
      </c>
      <c r="AH27" s="151" t="s">
        <v>57</v>
      </c>
      <c r="AK27" s="2"/>
    </row>
    <row r="28" spans="1:38" s="77" customFormat="1" ht="14.25" customHeight="1" x14ac:dyDescent="0.25">
      <c r="A28" s="158"/>
      <c r="B28" s="159"/>
      <c r="C28" s="159"/>
      <c r="D28" s="160">
        <f t="shared" ref="D28:I28" si="20">SUM((D27/C27))</f>
        <v>1.0426350311766133</v>
      </c>
      <c r="E28" s="160">
        <f t="shared" si="20"/>
        <v>1.0274164110131647</v>
      </c>
      <c r="F28" s="160">
        <f t="shared" si="20"/>
        <v>1.0964017084325506</v>
      </c>
      <c r="G28" s="160">
        <f t="shared" si="20"/>
        <v>1.0576626734465224</v>
      </c>
      <c r="H28" s="160">
        <f t="shared" si="20"/>
        <v>1.0581271603952394</v>
      </c>
      <c r="I28" s="160">
        <f t="shared" si="20"/>
        <v>1.0578110801361527</v>
      </c>
      <c r="J28" s="160">
        <f>SUM(676.75/I27)</f>
        <v>0.98535974548816641</v>
      </c>
      <c r="K28" s="160">
        <f>SUM(K27/676.75)</f>
        <v>1.0192463982268194</v>
      </c>
      <c r="L28" s="160">
        <f t="shared" ref="L28:AF28" si="21">SUM(L27/K27)</f>
        <v>1.0389634301040191</v>
      </c>
      <c r="M28" s="160">
        <f t="shared" si="21"/>
        <v>1.032078375666817</v>
      </c>
      <c r="N28" s="160">
        <f t="shared" si="21"/>
        <v>0.97256232761884165</v>
      </c>
      <c r="O28" s="160">
        <f t="shared" si="21"/>
        <v>1.0110892393924482</v>
      </c>
      <c r="P28" s="160">
        <f t="shared" si="21"/>
        <v>1.0338240369134484</v>
      </c>
      <c r="Q28" s="160">
        <f t="shared" si="21"/>
        <v>1.004016363355871</v>
      </c>
      <c r="R28" s="160">
        <f t="shared" si="21"/>
        <v>0.9820344290437435</v>
      </c>
      <c r="S28" s="160">
        <f t="shared" si="21"/>
        <v>1.0738176457179238</v>
      </c>
      <c r="T28" s="161">
        <f t="shared" si="21"/>
        <v>1.0176169564933402</v>
      </c>
      <c r="U28" s="160">
        <f t="shared" si="21"/>
        <v>1.0474909675324917</v>
      </c>
      <c r="V28" s="160">
        <f t="shared" si="21"/>
        <v>1.0356549026816888</v>
      </c>
      <c r="W28" s="160">
        <f t="shared" si="21"/>
        <v>1.0210863114201971</v>
      </c>
      <c r="X28" s="160">
        <f t="shared" si="21"/>
        <v>1.0307244516356213</v>
      </c>
      <c r="Y28" s="160">
        <f t="shared" si="21"/>
        <v>1.0070672715164199</v>
      </c>
      <c r="Z28" s="160">
        <f t="shared" si="21"/>
        <v>1.0148877354388868</v>
      </c>
      <c r="AA28" s="160">
        <f t="shared" si="21"/>
        <v>1.0218844836905645</v>
      </c>
      <c r="AB28" s="160">
        <f t="shared" si="21"/>
        <v>1.0137020191250663</v>
      </c>
      <c r="AC28" s="160">
        <f t="shared" si="21"/>
        <v>0.94687934941218177</v>
      </c>
      <c r="AD28" s="160">
        <f t="shared" si="21"/>
        <v>1.0327852057311828</v>
      </c>
      <c r="AE28" s="160">
        <f t="shared" si="21"/>
        <v>0.97721992442144012</v>
      </c>
      <c r="AF28" s="160">
        <f t="shared" si="21"/>
        <v>0.95784853124869751</v>
      </c>
      <c r="AG28" s="165">
        <f t="shared" ref="AG28" si="22">SUM(AG27/AF27)</f>
        <v>0.97655832382415275</v>
      </c>
      <c r="AH28" s="166"/>
      <c r="AL28" s="78"/>
    </row>
    <row r="29" spans="1:38" x14ac:dyDescent="0.2">
      <c r="A29" s="208" t="s">
        <v>28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</row>
    <row r="30" spans="1:38" x14ac:dyDescent="0.2">
      <c r="A30" s="208" t="s">
        <v>27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</row>
    <row r="31" spans="1:38" x14ac:dyDescent="0.2">
      <c r="A31" s="11" t="s">
        <v>26</v>
      </c>
      <c r="B31" s="6"/>
      <c r="C31" s="5"/>
      <c r="D31" s="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8" x14ac:dyDescent="0.2">
      <c r="A32" s="7"/>
      <c r="B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8" s="5" customFormat="1" x14ac:dyDescent="0.2">
      <c r="A33" s="116"/>
      <c r="B33" s="10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4"/>
      <c r="AH33" s="16"/>
      <c r="AK33" s="6"/>
      <c r="AL33" s="6"/>
    </row>
    <row r="34" spans="1:38" s="7" customFormat="1" x14ac:dyDescent="0.2">
      <c r="A34" s="116"/>
      <c r="B34" s="10"/>
      <c r="C34" s="10"/>
      <c r="D34" s="8"/>
      <c r="E34" s="8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4"/>
      <c r="AH34" s="16"/>
    </row>
    <row r="35" spans="1:38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</row>
    <row r="36" spans="1:38" s="5" customForma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4"/>
      <c r="AH36" s="16"/>
      <c r="AK36" s="6"/>
      <c r="AL36" s="6"/>
    </row>
    <row r="37" spans="1:38" x14ac:dyDescent="0.2">
      <c r="A37" s="5"/>
      <c r="B37" s="6"/>
      <c r="C37" s="5"/>
      <c r="D37" s="5"/>
      <c r="E37" s="5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8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40" spans="1:38" x14ac:dyDescent="0.2">
      <c r="A40" s="5"/>
      <c r="B40" s="44"/>
      <c r="C40" s="44"/>
      <c r="D40" s="44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4">
    <mergeCell ref="A1:AH1"/>
    <mergeCell ref="A2:AH2"/>
    <mergeCell ref="A29:V29"/>
    <mergeCell ref="A30:V30"/>
  </mergeCells>
  <pageMargins left="0.2" right="0.1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8A5-AE42-439A-8A4F-94F3E93C52E6}">
  <sheetPr>
    <tabColor rgb="FF0070C0"/>
  </sheetPr>
  <dimension ref="A4:AG112"/>
  <sheetViews>
    <sheetView topLeftCell="A81" zoomScaleNormal="100" workbookViewId="0">
      <selection activeCell="AG27" sqref="AG27"/>
    </sheetView>
  </sheetViews>
  <sheetFormatPr defaultRowHeight="12.75" x14ac:dyDescent="0.2"/>
  <cols>
    <col min="1" max="1" width="9.140625" style="21"/>
    <col min="2" max="2" width="12.85546875" style="21" customWidth="1"/>
    <col min="3" max="3" width="11.7109375" style="21" customWidth="1"/>
    <col min="4" max="4" width="13.140625" style="21" customWidth="1"/>
    <col min="5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  <c r="P4" s="21">
        <v>56.255000000000003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  <c r="P6" s="21">
        <v>52.447000000000003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  <c r="P8" s="21">
        <v>61.359000000000002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  <c r="P10" s="21">
        <v>54.920999999999999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  <c r="P12" s="21">
        <v>57.152000000000001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P14" s="21">
        <v>57.581000000000003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  <c r="P16" s="21">
        <v>52.883000000000003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  <c r="P18" s="21">
        <v>53.646000000000001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  <c r="P20" s="21">
        <v>55.036000000000001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  <c r="P22" s="21">
        <v>52.808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  <c r="P24" s="21">
        <v>54.747999999999998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  <c r="P26" s="21">
        <v>61.484999999999999</v>
      </c>
    </row>
    <row r="27" spans="2:33" x14ac:dyDescent="0.2">
      <c r="AG27" s="21">
        <f>SUM(AF27*AH15)</f>
        <v>0</v>
      </c>
    </row>
    <row r="37" spans="1:4" x14ac:dyDescent="0.2">
      <c r="A37" s="21" t="s">
        <v>52</v>
      </c>
    </row>
    <row r="40" spans="1:4" x14ac:dyDescent="0.2">
      <c r="B40" s="41"/>
      <c r="C40" s="41"/>
      <c r="D40" s="41"/>
    </row>
    <row r="42" spans="1:4" x14ac:dyDescent="0.2">
      <c r="C42" s="21">
        <v>384773949</v>
      </c>
    </row>
    <row r="43" spans="1:4" x14ac:dyDescent="0.2">
      <c r="C43" s="21">
        <v>391534602</v>
      </c>
    </row>
    <row r="53" spans="2:4" x14ac:dyDescent="0.2">
      <c r="B53" s="21">
        <v>654295090</v>
      </c>
      <c r="D53" s="21">
        <v>727324649</v>
      </c>
    </row>
    <row r="54" spans="2:4" x14ac:dyDescent="0.2">
      <c r="B54" s="21">
        <v>670320909</v>
      </c>
      <c r="D54" s="21">
        <v>751924611</v>
      </c>
    </row>
    <row r="78" spans="1:1" x14ac:dyDescent="0.2">
      <c r="A78" s="21" t="s">
        <v>53</v>
      </c>
    </row>
    <row r="81" spans="1:5" ht="13.5" x14ac:dyDescent="0.25">
      <c r="A81" s="176"/>
      <c r="B81" s="174" t="s">
        <v>1</v>
      </c>
      <c r="C81" s="174" t="s">
        <v>2</v>
      </c>
      <c r="D81" s="174" t="s">
        <v>3</v>
      </c>
      <c r="E81" s="176"/>
    </row>
    <row r="82" spans="1:5" ht="13.5" x14ac:dyDescent="0.25">
      <c r="A82" s="177" t="s">
        <v>8</v>
      </c>
      <c r="B82" s="175">
        <v>489900000</v>
      </c>
      <c r="C82" s="175">
        <v>4060000</v>
      </c>
      <c r="D82" s="175">
        <f t="shared" ref="D82:D112" si="0">SUM(B82+C82)</f>
        <v>493960000</v>
      </c>
      <c r="E82" s="176"/>
    </row>
    <row r="83" spans="1:5" ht="13.5" x14ac:dyDescent="0.25">
      <c r="A83" s="177" t="s">
        <v>9</v>
      </c>
      <c r="B83" s="175">
        <v>509300000</v>
      </c>
      <c r="C83" s="175">
        <v>5720000</v>
      </c>
      <c r="D83" s="175">
        <f t="shared" si="0"/>
        <v>515020000</v>
      </c>
      <c r="E83" s="176"/>
    </row>
    <row r="84" spans="1:5" ht="13.5" x14ac:dyDescent="0.25">
      <c r="A84" s="177" t="s">
        <v>10</v>
      </c>
      <c r="B84" s="175">
        <v>519730000</v>
      </c>
      <c r="C84" s="175">
        <v>9940000</v>
      </c>
      <c r="D84" s="175">
        <f t="shared" si="0"/>
        <v>529670000</v>
      </c>
      <c r="E84" s="176"/>
    </row>
    <row r="85" spans="1:5" ht="13.5" x14ac:dyDescent="0.25">
      <c r="A85" s="177" t="s">
        <v>11</v>
      </c>
      <c r="B85" s="175">
        <v>564990000</v>
      </c>
      <c r="C85" s="175">
        <v>15450000</v>
      </c>
      <c r="D85" s="175">
        <f t="shared" si="0"/>
        <v>580440000</v>
      </c>
      <c r="E85" s="176"/>
    </row>
    <row r="86" spans="1:5" ht="13.5" x14ac:dyDescent="0.25">
      <c r="A86" s="177" t="s">
        <v>12</v>
      </c>
      <c r="B86" s="175">
        <v>591710000</v>
      </c>
      <c r="C86" s="175">
        <v>22840000</v>
      </c>
      <c r="D86" s="175">
        <f t="shared" si="0"/>
        <v>614550000</v>
      </c>
      <c r="E86" s="176"/>
    </row>
    <row r="87" spans="1:5" ht="13.5" x14ac:dyDescent="0.25">
      <c r="A87" s="177" t="s">
        <v>13</v>
      </c>
      <c r="B87" s="175">
        <v>623312000</v>
      </c>
      <c r="C87" s="175">
        <v>25960000</v>
      </c>
      <c r="D87" s="175">
        <f t="shared" si="0"/>
        <v>649272000</v>
      </c>
      <c r="E87" s="176"/>
    </row>
    <row r="88" spans="1:5" ht="13.5" x14ac:dyDescent="0.25">
      <c r="A88" s="177" t="s">
        <v>14</v>
      </c>
      <c r="B88" s="175">
        <v>648775000</v>
      </c>
      <c r="C88" s="175">
        <v>37995000</v>
      </c>
      <c r="D88" s="175">
        <f t="shared" si="0"/>
        <v>686770000</v>
      </c>
      <c r="E88" s="176"/>
    </row>
    <row r="89" spans="1:5" ht="13.5" x14ac:dyDescent="0.25">
      <c r="A89" s="177" t="s">
        <v>15</v>
      </c>
      <c r="B89" s="175">
        <v>631870000</v>
      </c>
      <c r="C89" s="175">
        <v>43550000</v>
      </c>
      <c r="D89" s="175">
        <f t="shared" si="0"/>
        <v>675420000</v>
      </c>
      <c r="E89" s="176"/>
    </row>
    <row r="90" spans="1:5" ht="13.5" x14ac:dyDescent="0.25">
      <c r="A90" s="177" t="s">
        <v>16</v>
      </c>
      <c r="B90" s="175">
        <v>638880000</v>
      </c>
      <c r="C90" s="175">
        <v>50899704.761904761</v>
      </c>
      <c r="D90" s="175">
        <f t="shared" si="0"/>
        <v>689779704.76190472</v>
      </c>
      <c r="E90" s="176"/>
    </row>
    <row r="91" spans="1:5" ht="13.5" x14ac:dyDescent="0.25">
      <c r="A91" s="177" t="s">
        <v>17</v>
      </c>
      <c r="B91" s="175">
        <v>656953556</v>
      </c>
      <c r="C91" s="175">
        <v>59697493.886968553</v>
      </c>
      <c r="D91" s="175">
        <f t="shared" si="0"/>
        <v>716651049.88696861</v>
      </c>
      <c r="E91" s="176"/>
    </row>
    <row r="92" spans="1:5" ht="13.5" x14ac:dyDescent="0.25">
      <c r="A92" s="177" t="s">
        <v>18</v>
      </c>
      <c r="B92" s="175">
        <v>675963429</v>
      </c>
      <c r="C92" s="175">
        <v>63676294.421221994</v>
      </c>
      <c r="D92" s="175">
        <f t="shared" si="0"/>
        <v>739639723.42122197</v>
      </c>
      <c r="E92" s="176"/>
    </row>
    <row r="93" spans="1:5" ht="13.5" x14ac:dyDescent="0.25">
      <c r="A93" s="177" t="s">
        <v>19</v>
      </c>
      <c r="B93" s="175">
        <v>647653438</v>
      </c>
      <c r="C93" s="175">
        <v>71693357.114207327</v>
      </c>
      <c r="D93" s="175">
        <f t="shared" si="0"/>
        <v>719346795.11420727</v>
      </c>
      <c r="E93" s="176"/>
    </row>
    <row r="94" spans="1:5" ht="13.5" x14ac:dyDescent="0.25">
      <c r="A94" s="177" t="s">
        <v>20</v>
      </c>
      <c r="B94" s="178">
        <v>654295090.27857149</v>
      </c>
      <c r="C94" s="178">
        <v>73029558.509002</v>
      </c>
      <c r="D94" s="175">
        <f t="shared" si="0"/>
        <v>727324648.78757346</v>
      </c>
      <c r="E94" s="176"/>
    </row>
    <row r="95" spans="1:5" ht="13.5" x14ac:dyDescent="0.25">
      <c r="A95" s="177" t="s">
        <v>21</v>
      </c>
      <c r="B95" s="178">
        <v>670320908.74720919</v>
      </c>
      <c r="C95" s="178">
        <v>81603702.511627913</v>
      </c>
      <c r="D95" s="175">
        <f t="shared" si="0"/>
        <v>751924611.2588371</v>
      </c>
      <c r="E95" s="176"/>
    </row>
    <row r="96" spans="1:5" ht="13.5" x14ac:dyDescent="0.25">
      <c r="A96" s="177" t="s">
        <v>0</v>
      </c>
      <c r="B96" s="178">
        <v>671760569.61000001</v>
      </c>
      <c r="C96" s="178">
        <v>83183162</v>
      </c>
      <c r="D96" s="175">
        <f t="shared" si="0"/>
        <v>754943731.61000001</v>
      </c>
      <c r="E96" s="176"/>
    </row>
    <row r="97" spans="1:5" ht="13.5" x14ac:dyDescent="0.25">
      <c r="A97" s="177" t="s">
        <v>22</v>
      </c>
      <c r="B97" s="178">
        <v>656296449.80999994</v>
      </c>
      <c r="C97" s="178">
        <v>85084570</v>
      </c>
      <c r="D97" s="175">
        <f t="shared" si="0"/>
        <v>741381019.80999994</v>
      </c>
      <c r="E97" s="176"/>
    </row>
    <row r="98" spans="1:5" ht="13.5" x14ac:dyDescent="0.25">
      <c r="A98" s="177" t="s">
        <v>23</v>
      </c>
      <c r="B98" s="178">
        <v>703716570.50999999</v>
      </c>
      <c r="C98" s="178">
        <v>92390238</v>
      </c>
      <c r="D98" s="175">
        <f t="shared" si="0"/>
        <v>796106808.50999999</v>
      </c>
      <c r="E98" s="176"/>
    </row>
    <row r="99" spans="1:5" ht="13.5" x14ac:dyDescent="0.25">
      <c r="A99" s="177" t="s">
        <v>24</v>
      </c>
      <c r="B99" s="178">
        <v>721594535.56999993</v>
      </c>
      <c r="C99" s="178">
        <v>88537774</v>
      </c>
      <c r="D99" s="175">
        <f t="shared" si="0"/>
        <v>810132309.56999993</v>
      </c>
      <c r="E99" s="176"/>
    </row>
    <row r="100" spans="1:5" ht="13.5" x14ac:dyDescent="0.25">
      <c r="A100" s="177" t="s">
        <v>25</v>
      </c>
      <c r="B100" s="178">
        <v>749479653</v>
      </c>
      <c r="C100" s="178">
        <v>99126506</v>
      </c>
      <c r="D100" s="175">
        <f t="shared" si="0"/>
        <v>848606159</v>
      </c>
      <c r="E100" s="176"/>
    </row>
    <row r="101" spans="1:5" ht="13.5" x14ac:dyDescent="0.25">
      <c r="A101" s="179">
        <v>2013</v>
      </c>
      <c r="B101" s="178">
        <v>771993455.99000001</v>
      </c>
      <c r="C101" s="178">
        <v>100869339</v>
      </c>
      <c r="D101" s="175">
        <f t="shared" si="0"/>
        <v>872862794.99000001</v>
      </c>
      <c r="E101" s="176"/>
    </row>
    <row r="102" spans="1:5" ht="13.5" x14ac:dyDescent="0.25">
      <c r="A102" s="179" t="s">
        <v>45</v>
      </c>
      <c r="B102" s="178">
        <v>794087706.91000009</v>
      </c>
      <c r="C102" s="178">
        <v>103307752</v>
      </c>
      <c r="D102" s="175">
        <f t="shared" si="0"/>
        <v>897395458.91000009</v>
      </c>
      <c r="E102" s="176"/>
    </row>
    <row r="103" spans="1:5" ht="13.5" x14ac:dyDescent="0.25">
      <c r="A103" s="179" t="s">
        <v>44</v>
      </c>
      <c r="B103" s="178">
        <v>810973172</v>
      </c>
      <c r="C103" s="178">
        <v>114162606</v>
      </c>
      <c r="D103" s="175">
        <f t="shared" si="0"/>
        <v>925135778</v>
      </c>
      <c r="E103" s="176"/>
    </row>
    <row r="104" spans="1:5" ht="13.5" x14ac:dyDescent="0.25">
      <c r="A104" s="181">
        <v>2016</v>
      </c>
      <c r="B104" s="178">
        <v>805942429.81818175</v>
      </c>
      <c r="C104" s="178">
        <v>125562383</v>
      </c>
      <c r="D104" s="175">
        <f t="shared" si="0"/>
        <v>931504812.81818175</v>
      </c>
      <c r="E104" s="176"/>
    </row>
    <row r="105" spans="1:5" ht="13.5" x14ac:dyDescent="0.25">
      <c r="A105" s="179" t="s">
        <v>50</v>
      </c>
      <c r="B105" s="177">
        <v>809865466.72727275</v>
      </c>
      <c r="C105" s="177">
        <v>135506544</v>
      </c>
      <c r="D105" s="175">
        <f t="shared" si="0"/>
        <v>945372010.72727275</v>
      </c>
      <c r="E105" s="176"/>
    </row>
    <row r="106" spans="1:5" ht="13.5" x14ac:dyDescent="0.25">
      <c r="A106" s="181">
        <v>2018</v>
      </c>
      <c r="B106" s="177">
        <v>816374282.44999993</v>
      </c>
      <c r="C106" s="177">
        <v>149687000</v>
      </c>
      <c r="D106" s="175">
        <f t="shared" si="0"/>
        <v>966061282.44999993</v>
      </c>
      <c r="E106" s="176"/>
    </row>
    <row r="107" spans="1:5" ht="13.5" x14ac:dyDescent="0.25">
      <c r="A107" s="181">
        <v>2019</v>
      </c>
      <c r="B107" s="177">
        <v>811494774</v>
      </c>
      <c r="C107" s="177">
        <v>167785373</v>
      </c>
      <c r="D107" s="175">
        <f t="shared" si="0"/>
        <v>979280147</v>
      </c>
      <c r="E107" s="176"/>
    </row>
    <row r="108" spans="1:5" ht="13.5" x14ac:dyDescent="0.25">
      <c r="A108" s="181">
        <v>2020</v>
      </c>
      <c r="B108" s="177">
        <v>746300000</v>
      </c>
      <c r="C108" s="177">
        <v>181160000</v>
      </c>
      <c r="D108" s="175">
        <f t="shared" si="0"/>
        <v>927460000</v>
      </c>
      <c r="E108" s="176" t="s">
        <v>60</v>
      </c>
    </row>
    <row r="109" spans="1:5" ht="13.5" x14ac:dyDescent="0.25">
      <c r="A109" s="181">
        <v>2021</v>
      </c>
      <c r="B109" s="177">
        <v>760986000</v>
      </c>
      <c r="C109" s="177">
        <v>196783000</v>
      </c>
      <c r="D109" s="175">
        <f t="shared" si="0"/>
        <v>957769000</v>
      </c>
      <c r="E109" s="176"/>
    </row>
    <row r="110" spans="1:5" ht="13.5" x14ac:dyDescent="0.25">
      <c r="A110" s="181">
        <v>2022</v>
      </c>
      <c r="B110" s="177">
        <v>730056000</v>
      </c>
      <c r="C110" s="177">
        <v>205809000</v>
      </c>
      <c r="D110" s="175">
        <f t="shared" si="0"/>
        <v>935865000</v>
      </c>
    </row>
    <row r="111" spans="1:5" ht="13.5" x14ac:dyDescent="0.25">
      <c r="A111" s="181">
        <v>2023</v>
      </c>
      <c r="B111" s="177">
        <v>692901000</v>
      </c>
      <c r="C111" s="177">
        <v>194971000</v>
      </c>
      <c r="D111" s="175">
        <f t="shared" si="0"/>
        <v>887872000</v>
      </c>
    </row>
    <row r="112" spans="1:5" ht="13.5" x14ac:dyDescent="0.25">
      <c r="A112" s="176" t="s">
        <v>69</v>
      </c>
      <c r="B112" s="177">
        <v>674260000</v>
      </c>
      <c r="C112" s="177">
        <v>201265000</v>
      </c>
      <c r="D112" s="175">
        <f t="shared" si="0"/>
        <v>875525000</v>
      </c>
    </row>
  </sheetData>
  <pageMargins left="0.7" right="0.7" top="0.75" bottom="0.75" header="0.3" footer="0.3"/>
  <pageSetup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9C15-9B45-492A-8F36-F827CA0A9829}">
  <sheetPr>
    <tabColor rgb="FF0070C0"/>
  </sheetPr>
  <dimension ref="A4:AG59"/>
  <sheetViews>
    <sheetView topLeftCell="A31" zoomScaleNormal="100" workbookViewId="0">
      <selection activeCell="AG27" sqref="AG27"/>
    </sheetView>
  </sheetViews>
  <sheetFormatPr defaultRowHeight="12.75" x14ac:dyDescent="0.2"/>
  <cols>
    <col min="1" max="1" width="9.42578125" style="36" customWidth="1"/>
    <col min="2" max="2" width="16" style="36" customWidth="1"/>
    <col min="3" max="3" width="11.7109375" style="36" customWidth="1"/>
    <col min="4" max="4" width="15" style="36" customWidth="1"/>
    <col min="5" max="5" width="14" style="36" customWidth="1"/>
    <col min="6" max="6" width="16.140625" style="36" customWidth="1"/>
    <col min="7" max="7" width="19" style="36" customWidth="1"/>
    <col min="8" max="9" width="15" style="36" customWidth="1"/>
    <col min="10" max="19" width="9.140625" style="36"/>
    <col min="20" max="25" width="15" style="36" customWidth="1"/>
    <col min="26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6" spans="1:9" x14ac:dyDescent="0.2">
      <c r="A36" s="37" t="s">
        <v>54</v>
      </c>
    </row>
    <row r="40" spans="1:9" ht="13.5" x14ac:dyDescent="0.25">
      <c r="A40" s="182"/>
      <c r="B40" s="183" t="s">
        <v>5</v>
      </c>
      <c r="C40" s="183" t="s">
        <v>6</v>
      </c>
      <c r="D40" s="183" t="s">
        <v>7</v>
      </c>
      <c r="E40" s="184" t="s">
        <v>2</v>
      </c>
      <c r="F40" s="184" t="s">
        <v>1</v>
      </c>
      <c r="G40" s="184" t="s">
        <v>3</v>
      </c>
      <c r="H40" s="189"/>
    </row>
    <row r="41" spans="1:9" ht="13.5" x14ac:dyDescent="0.25">
      <c r="A41" s="185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80">
        <f t="shared" ref="G41:G58" si="0">SUM(E41+F41)</f>
        <v>727324648.78757346</v>
      </c>
      <c r="H41" s="189"/>
      <c r="I41" s="2"/>
    </row>
    <row r="42" spans="1:9" ht="13.5" x14ac:dyDescent="0.25">
      <c r="A42" s="185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80">
        <f t="shared" si="0"/>
        <v>751924611.2588371</v>
      </c>
      <c r="H42" s="189"/>
    </row>
    <row r="43" spans="1:9" ht="13.5" x14ac:dyDescent="0.25">
      <c r="A43" s="185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80">
        <f t="shared" si="0"/>
        <v>754943731.61000001</v>
      </c>
      <c r="H43" s="189"/>
    </row>
    <row r="44" spans="1:9" ht="13.5" x14ac:dyDescent="0.25">
      <c r="A44" s="185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80">
        <f t="shared" si="0"/>
        <v>741381019.80999994</v>
      </c>
      <c r="H44" s="189"/>
    </row>
    <row r="45" spans="1:9" ht="13.5" x14ac:dyDescent="0.25">
      <c r="A45" s="185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80">
        <f t="shared" si="0"/>
        <v>796106808.50999999</v>
      </c>
      <c r="H45" s="189"/>
    </row>
    <row r="46" spans="1:9" ht="13.5" x14ac:dyDescent="0.25">
      <c r="A46" s="185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80">
        <f t="shared" si="0"/>
        <v>810132309.56999993</v>
      </c>
      <c r="H46" s="189"/>
    </row>
    <row r="47" spans="1:9" ht="13.5" x14ac:dyDescent="0.25">
      <c r="A47" s="185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80">
        <f t="shared" si="0"/>
        <v>848606159</v>
      </c>
      <c r="H47" s="189"/>
    </row>
    <row r="48" spans="1:9" ht="13.5" x14ac:dyDescent="0.25">
      <c r="A48" s="186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80">
        <f t="shared" si="0"/>
        <v>872862794.99000001</v>
      </c>
      <c r="H48" s="189"/>
    </row>
    <row r="49" spans="1:8" ht="13.5" x14ac:dyDescent="0.25">
      <c r="A49" s="186">
        <v>2014</v>
      </c>
      <c r="B49" s="180">
        <v>205700295</v>
      </c>
      <c r="C49" s="180">
        <v>475958212.91000003</v>
      </c>
      <c r="D49" s="180">
        <v>112429199</v>
      </c>
      <c r="E49" s="180">
        <v>103307752</v>
      </c>
      <c r="F49" s="178">
        <v>794087706.91000009</v>
      </c>
      <c r="G49" s="180">
        <f t="shared" si="0"/>
        <v>897395458.91000009</v>
      </c>
      <c r="H49" s="189"/>
    </row>
    <row r="50" spans="1:8" ht="13.5" x14ac:dyDescent="0.25">
      <c r="A50" s="187" t="s">
        <v>44</v>
      </c>
      <c r="B50" s="175">
        <v>207805228</v>
      </c>
      <c r="C50" s="175">
        <v>498907361</v>
      </c>
      <c r="D50" s="175">
        <v>104260583</v>
      </c>
      <c r="E50" s="175">
        <v>114162606</v>
      </c>
      <c r="F50" s="178">
        <v>810973172</v>
      </c>
      <c r="G50" s="180">
        <f t="shared" si="0"/>
        <v>925135778</v>
      </c>
      <c r="H50" s="189"/>
    </row>
    <row r="51" spans="1:8" ht="13.5" x14ac:dyDescent="0.25">
      <c r="A51" s="188">
        <v>2016</v>
      </c>
      <c r="B51" s="180">
        <v>206113893</v>
      </c>
      <c r="C51" s="180">
        <v>492286962.81818181</v>
      </c>
      <c r="D51" s="180">
        <v>107541574</v>
      </c>
      <c r="E51" s="180">
        <v>125562383</v>
      </c>
      <c r="F51" s="178">
        <v>805942429.81818175</v>
      </c>
      <c r="G51" s="180">
        <f t="shared" si="0"/>
        <v>931504812.81818175</v>
      </c>
      <c r="H51" s="189"/>
    </row>
    <row r="52" spans="1:8" ht="13.5" x14ac:dyDescent="0.25">
      <c r="A52" s="187">
        <v>2017</v>
      </c>
      <c r="B52" s="175">
        <v>199226622</v>
      </c>
      <c r="C52" s="175">
        <v>513804930.72727275</v>
      </c>
      <c r="D52" s="175">
        <v>96833914</v>
      </c>
      <c r="E52" s="175">
        <v>135506544</v>
      </c>
      <c r="F52" s="178">
        <v>809865466.72727275</v>
      </c>
      <c r="G52" s="180">
        <f t="shared" si="0"/>
        <v>945372010.72727275</v>
      </c>
      <c r="H52" s="189"/>
    </row>
    <row r="53" spans="1:8" ht="13.5" x14ac:dyDescent="0.25">
      <c r="A53" s="187" t="s">
        <v>51</v>
      </c>
      <c r="B53" s="175">
        <v>191297586</v>
      </c>
      <c r="C53" s="175">
        <v>528233315.44999999</v>
      </c>
      <c r="D53" s="175">
        <v>96843381</v>
      </c>
      <c r="E53" s="180">
        <v>149687000</v>
      </c>
      <c r="F53" s="178">
        <v>816374282.44999993</v>
      </c>
      <c r="G53" s="180">
        <f t="shared" si="0"/>
        <v>966061282.44999993</v>
      </c>
      <c r="H53" s="191"/>
    </row>
    <row r="54" spans="1:8" ht="13.5" x14ac:dyDescent="0.25">
      <c r="A54" s="187">
        <v>2019</v>
      </c>
      <c r="B54" s="180">
        <v>181607293</v>
      </c>
      <c r="C54" s="180">
        <v>529633663</v>
      </c>
      <c r="D54" s="180">
        <v>100253818</v>
      </c>
      <c r="E54" s="180">
        <v>167785373</v>
      </c>
      <c r="F54" s="180">
        <v>811361027</v>
      </c>
      <c r="G54" s="180">
        <f t="shared" si="0"/>
        <v>979146400</v>
      </c>
      <c r="H54" s="191"/>
    </row>
    <row r="55" spans="1:8" ht="13.5" x14ac:dyDescent="0.25">
      <c r="A55" s="187" t="s">
        <v>56</v>
      </c>
      <c r="B55" s="180">
        <v>175200000</v>
      </c>
      <c r="C55" s="180">
        <v>480000000</v>
      </c>
      <c r="D55" s="180">
        <v>91100000</v>
      </c>
      <c r="E55" s="177">
        <v>181160000</v>
      </c>
      <c r="F55" s="177">
        <v>746300000</v>
      </c>
      <c r="G55" s="180">
        <f t="shared" si="0"/>
        <v>927460000</v>
      </c>
      <c r="H55" s="189" t="s">
        <v>59</v>
      </c>
    </row>
    <row r="56" spans="1:8" ht="13.5" x14ac:dyDescent="0.25">
      <c r="A56" s="187" t="s">
        <v>58</v>
      </c>
      <c r="B56" s="180">
        <v>186397000</v>
      </c>
      <c r="C56" s="180">
        <v>486598000</v>
      </c>
      <c r="D56" s="180">
        <v>88151000</v>
      </c>
      <c r="E56" s="177">
        <v>196783000</v>
      </c>
      <c r="F56" s="177">
        <v>760986000</v>
      </c>
      <c r="G56" s="180">
        <f t="shared" si="0"/>
        <v>957769000</v>
      </c>
      <c r="H56" s="189"/>
    </row>
    <row r="57" spans="1:8" ht="13.5" x14ac:dyDescent="0.25">
      <c r="A57" s="187" t="s">
        <v>66</v>
      </c>
      <c r="B57" s="180">
        <v>179087000</v>
      </c>
      <c r="C57" s="180">
        <v>461643000</v>
      </c>
      <c r="D57" s="180">
        <v>89327000</v>
      </c>
      <c r="E57" s="177">
        <v>205809000</v>
      </c>
      <c r="F57" s="177">
        <v>730056000</v>
      </c>
      <c r="G57" s="180">
        <f t="shared" si="0"/>
        <v>935865000</v>
      </c>
    </row>
    <row r="58" spans="1:8" ht="13.5" x14ac:dyDescent="0.25">
      <c r="A58" s="187" t="s">
        <v>67</v>
      </c>
      <c r="B58" s="180">
        <v>167287000</v>
      </c>
      <c r="C58" s="180">
        <v>441668000</v>
      </c>
      <c r="D58" s="180">
        <v>83962000</v>
      </c>
      <c r="E58" s="177">
        <v>194971000</v>
      </c>
      <c r="F58" s="177">
        <v>692901000</v>
      </c>
      <c r="G58" s="180">
        <f t="shared" si="0"/>
        <v>887872000</v>
      </c>
    </row>
    <row r="59" spans="1:8" ht="13.5" x14ac:dyDescent="0.25">
      <c r="A59" s="187" t="s">
        <v>69</v>
      </c>
      <c r="B59" s="180">
        <v>148369000</v>
      </c>
      <c r="C59" s="180">
        <v>449524000</v>
      </c>
      <c r="D59" s="180">
        <v>75853000</v>
      </c>
      <c r="E59" s="177">
        <v>201265000</v>
      </c>
      <c r="F59" s="177">
        <v>674260000</v>
      </c>
      <c r="G59" s="180">
        <f t="shared" ref="G59" si="1">SUM(E59+F59)</f>
        <v>875525000</v>
      </c>
    </row>
  </sheetData>
  <phoneticPr fontId="32" type="noConversion"/>
  <pageMargins left="0.7" right="0.7" top="0.75" bottom="0.75" header="0.3" footer="0.3"/>
  <pageSetup scale="4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2E8C-6159-48C0-928E-69D8D12F5C5F}">
  <sheetPr>
    <tabColor rgb="FF0070C0"/>
  </sheetPr>
  <dimension ref="A4:AG59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36"/>
    <col min="2" max="2" width="12.28515625" style="36" customWidth="1"/>
    <col min="3" max="3" width="11.7109375" style="36" customWidth="1"/>
    <col min="4" max="5" width="12.28515625" style="36" customWidth="1"/>
    <col min="6" max="6" width="13.85546875" style="36" customWidth="1"/>
    <col min="7" max="7" width="13.42578125" style="36" customWidth="1"/>
    <col min="8" max="8" width="15" style="36" customWidth="1"/>
    <col min="9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5" spans="1:8" ht="60.75" customHeight="1" x14ac:dyDescent="0.2"/>
    <row r="36" spans="1:8" x14ac:dyDescent="0.2">
      <c r="A36" s="37" t="s">
        <v>54</v>
      </c>
    </row>
    <row r="38" spans="1:8" x14ac:dyDescent="0.2">
      <c r="B38" s="43"/>
      <c r="C38" s="43"/>
      <c r="D38" s="43"/>
    </row>
    <row r="40" spans="1:8" ht="13.5" x14ac:dyDescent="0.25">
      <c r="A40" s="182"/>
      <c r="B40" s="184" t="s">
        <v>5</v>
      </c>
      <c r="C40" s="184" t="s">
        <v>6</v>
      </c>
      <c r="D40" s="184" t="s">
        <v>7</v>
      </c>
      <c r="E40" s="184" t="s">
        <v>2</v>
      </c>
      <c r="F40" s="184" t="s">
        <v>1</v>
      </c>
      <c r="G40" s="184" t="s">
        <v>3</v>
      </c>
      <c r="H40" s="189"/>
    </row>
    <row r="41" spans="1:8" ht="13.5" x14ac:dyDescent="0.25">
      <c r="A41" s="185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80">
        <f t="shared" ref="G41:G59" si="0">SUM(E41+F41)</f>
        <v>727324648.78757346</v>
      </c>
      <c r="H41" s="191"/>
    </row>
    <row r="42" spans="1:8" ht="13.5" x14ac:dyDescent="0.25">
      <c r="A42" s="185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80">
        <f t="shared" si="0"/>
        <v>751924611.2588371</v>
      </c>
      <c r="H42" s="189"/>
    </row>
    <row r="43" spans="1:8" ht="13.5" x14ac:dyDescent="0.25">
      <c r="A43" s="185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80">
        <f t="shared" si="0"/>
        <v>754943731.61000001</v>
      </c>
      <c r="H43" s="189"/>
    </row>
    <row r="44" spans="1:8" ht="13.5" x14ac:dyDescent="0.25">
      <c r="A44" s="185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80">
        <f t="shared" si="0"/>
        <v>741381019.80999994</v>
      </c>
      <c r="H44" s="189"/>
    </row>
    <row r="45" spans="1:8" ht="13.5" x14ac:dyDescent="0.25">
      <c r="A45" s="185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80">
        <f t="shared" si="0"/>
        <v>796106808.50999999</v>
      </c>
      <c r="H45" s="189"/>
    </row>
    <row r="46" spans="1:8" ht="13.5" x14ac:dyDescent="0.25">
      <c r="A46" s="185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80">
        <f t="shared" si="0"/>
        <v>810132309.56999993</v>
      </c>
      <c r="H46" s="189"/>
    </row>
    <row r="47" spans="1:8" ht="13.5" x14ac:dyDescent="0.25">
      <c r="A47" s="185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80">
        <f t="shared" si="0"/>
        <v>848606159</v>
      </c>
      <c r="H47" s="189"/>
    </row>
    <row r="48" spans="1:8" ht="13.5" x14ac:dyDescent="0.25">
      <c r="A48" s="186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80">
        <f t="shared" si="0"/>
        <v>872862794.99000001</v>
      </c>
      <c r="H48" s="189"/>
    </row>
    <row r="49" spans="1:8" ht="13.5" x14ac:dyDescent="0.25">
      <c r="A49" s="186">
        <v>2014</v>
      </c>
      <c r="B49" s="180">
        <v>205700295</v>
      </c>
      <c r="C49" s="180">
        <v>475958212.91000003</v>
      </c>
      <c r="D49" s="180">
        <v>112429199</v>
      </c>
      <c r="E49" s="180">
        <v>103307752</v>
      </c>
      <c r="F49" s="178">
        <v>794087706.91000009</v>
      </c>
      <c r="G49" s="180">
        <f t="shared" si="0"/>
        <v>897395458.91000009</v>
      </c>
      <c r="H49" s="189"/>
    </row>
    <row r="50" spans="1:8" ht="13.5" x14ac:dyDescent="0.25">
      <c r="A50" s="187" t="s">
        <v>44</v>
      </c>
      <c r="B50" s="175">
        <v>207805228</v>
      </c>
      <c r="C50" s="175">
        <v>498907361</v>
      </c>
      <c r="D50" s="175">
        <v>104260583</v>
      </c>
      <c r="E50" s="175">
        <v>114162606</v>
      </c>
      <c r="F50" s="178">
        <v>810973172</v>
      </c>
      <c r="G50" s="180">
        <f t="shared" si="0"/>
        <v>925135778</v>
      </c>
      <c r="H50" s="189"/>
    </row>
    <row r="51" spans="1:8" ht="13.5" x14ac:dyDescent="0.25">
      <c r="A51" s="188">
        <v>2016</v>
      </c>
      <c r="B51" s="180">
        <v>206113893</v>
      </c>
      <c r="C51" s="180">
        <v>492286962.81818181</v>
      </c>
      <c r="D51" s="180">
        <v>107541574</v>
      </c>
      <c r="E51" s="180">
        <v>125562383</v>
      </c>
      <c r="F51" s="178">
        <v>805942429.81818175</v>
      </c>
      <c r="G51" s="180">
        <f t="shared" si="0"/>
        <v>931504812.81818175</v>
      </c>
      <c r="H51" s="189"/>
    </row>
    <row r="52" spans="1:8" ht="13.5" x14ac:dyDescent="0.25">
      <c r="A52" s="187">
        <v>2017</v>
      </c>
      <c r="B52" s="175">
        <v>199226622</v>
      </c>
      <c r="C52" s="175">
        <v>513804930.72727275</v>
      </c>
      <c r="D52" s="175">
        <v>96833914</v>
      </c>
      <c r="E52" s="175">
        <v>135506544</v>
      </c>
      <c r="F52" s="178">
        <v>809865466.72727275</v>
      </c>
      <c r="G52" s="180">
        <f t="shared" si="0"/>
        <v>945372010.72727275</v>
      </c>
      <c r="H52" s="189"/>
    </row>
    <row r="53" spans="1:8" ht="13.5" x14ac:dyDescent="0.25">
      <c r="A53" s="187" t="s">
        <v>51</v>
      </c>
      <c r="B53" s="175">
        <v>191297586</v>
      </c>
      <c r="C53" s="175">
        <v>528233315.44999999</v>
      </c>
      <c r="D53" s="175">
        <v>96843381</v>
      </c>
      <c r="E53" s="180">
        <v>149687000</v>
      </c>
      <c r="F53" s="178">
        <v>816374282.44999993</v>
      </c>
      <c r="G53" s="180">
        <f t="shared" si="0"/>
        <v>966061282.44999993</v>
      </c>
      <c r="H53" s="189"/>
    </row>
    <row r="54" spans="1:8" ht="13.5" x14ac:dyDescent="0.25">
      <c r="A54" s="187">
        <v>2019</v>
      </c>
      <c r="B54" s="180">
        <v>181473546</v>
      </c>
      <c r="C54" s="180">
        <v>529633663</v>
      </c>
      <c r="D54" s="180">
        <v>100253818</v>
      </c>
      <c r="E54" s="180">
        <v>167785373</v>
      </c>
      <c r="F54" s="180">
        <v>811361027</v>
      </c>
      <c r="G54" s="180">
        <f t="shared" si="0"/>
        <v>979146400</v>
      </c>
      <c r="H54" s="189"/>
    </row>
    <row r="55" spans="1:8" ht="13.5" x14ac:dyDescent="0.25">
      <c r="A55" s="187" t="s">
        <v>56</v>
      </c>
      <c r="B55" s="180">
        <v>175200000</v>
      </c>
      <c r="C55" s="180">
        <v>480000000</v>
      </c>
      <c r="D55" s="180">
        <v>91100000</v>
      </c>
      <c r="E55" s="177">
        <v>181160000</v>
      </c>
      <c r="F55" s="177">
        <v>746300000</v>
      </c>
      <c r="G55" s="180">
        <f t="shared" si="0"/>
        <v>927460000</v>
      </c>
      <c r="H55" s="189" t="s">
        <v>59</v>
      </c>
    </row>
    <row r="56" spans="1:8" ht="13.5" x14ac:dyDescent="0.25">
      <c r="A56" s="187" t="s">
        <v>58</v>
      </c>
      <c r="B56" s="180">
        <v>186397000</v>
      </c>
      <c r="C56" s="180">
        <v>486598000</v>
      </c>
      <c r="D56" s="180">
        <v>88151000</v>
      </c>
      <c r="E56" s="177">
        <v>196783000</v>
      </c>
      <c r="F56" s="177">
        <v>760986000</v>
      </c>
      <c r="G56" s="180">
        <f t="shared" si="0"/>
        <v>957769000</v>
      </c>
      <c r="H56" s="189"/>
    </row>
    <row r="57" spans="1:8" ht="13.5" x14ac:dyDescent="0.25">
      <c r="A57" s="187" t="s">
        <v>66</v>
      </c>
      <c r="B57" s="180">
        <v>179087000</v>
      </c>
      <c r="C57" s="180">
        <v>461643000</v>
      </c>
      <c r="D57" s="180">
        <v>89327000</v>
      </c>
      <c r="E57" s="177">
        <v>205809000</v>
      </c>
      <c r="F57" s="177">
        <v>730056000</v>
      </c>
      <c r="G57" s="180">
        <f t="shared" si="0"/>
        <v>935865000</v>
      </c>
    </row>
    <row r="58" spans="1:8" ht="13.5" x14ac:dyDescent="0.25">
      <c r="A58" s="187" t="s">
        <v>67</v>
      </c>
      <c r="B58" s="180">
        <v>167287000</v>
      </c>
      <c r="C58" s="180">
        <v>441668000</v>
      </c>
      <c r="D58" s="180">
        <v>83962000</v>
      </c>
      <c r="E58" s="177">
        <v>194971000</v>
      </c>
      <c r="F58" s="177">
        <v>692901000</v>
      </c>
      <c r="G58" s="180">
        <f t="shared" si="0"/>
        <v>887872000</v>
      </c>
    </row>
    <row r="59" spans="1:8" ht="13.5" x14ac:dyDescent="0.25">
      <c r="A59" s="187" t="s">
        <v>69</v>
      </c>
      <c r="B59" s="180">
        <v>148369000</v>
      </c>
      <c r="C59" s="180">
        <v>449524000</v>
      </c>
      <c r="D59" s="180">
        <v>75853000</v>
      </c>
      <c r="E59" s="177">
        <v>201265000</v>
      </c>
      <c r="F59" s="177">
        <v>674260000</v>
      </c>
      <c r="G59" s="180">
        <f t="shared" si="0"/>
        <v>875525000</v>
      </c>
    </row>
  </sheetData>
  <pageMargins left="0.7" right="0.7" top="0.75" bottom="0.75" header="0.3" footer="0.3"/>
  <pageSetup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28B7-2D42-470A-9854-412E1A262CC6}">
  <sheetPr>
    <tabColor rgb="FF0070C0"/>
  </sheetPr>
  <dimension ref="A4:AG60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36"/>
    <col min="2" max="2" width="12.28515625" style="36" customWidth="1"/>
    <col min="3" max="3" width="11.7109375" style="36" customWidth="1"/>
    <col min="4" max="5" width="12.28515625" style="36" customWidth="1"/>
    <col min="6" max="6" width="13.28515625" style="36" customWidth="1"/>
    <col min="7" max="7" width="13.140625" style="36" customWidth="1"/>
    <col min="8" max="8" width="16" style="36" customWidth="1"/>
    <col min="9" max="16384" width="9.140625" style="36"/>
  </cols>
  <sheetData>
    <row r="4" spans="2:33" x14ac:dyDescent="0.2">
      <c r="B4" s="36">
        <v>29.468</v>
      </c>
      <c r="C4" s="36">
        <v>32.939</v>
      </c>
      <c r="D4" s="36">
        <v>34.295999999999999</v>
      </c>
      <c r="O4" s="36">
        <v>54.183999999999997</v>
      </c>
    </row>
    <row r="6" spans="2:33" x14ac:dyDescent="0.2">
      <c r="B6" s="36">
        <v>27.055</v>
      </c>
      <c r="C6" s="36">
        <v>29.66</v>
      </c>
      <c r="D6" s="36">
        <v>32.087000000000003</v>
      </c>
      <c r="O6" s="36">
        <v>51.372999999999998</v>
      </c>
    </row>
    <row r="8" spans="2:33" x14ac:dyDescent="0.2">
      <c r="B8" s="36">
        <v>28.225000000000001</v>
      </c>
      <c r="C8" s="36">
        <v>33.911999999999999</v>
      </c>
      <c r="D8" s="36">
        <v>34.22</v>
      </c>
      <c r="O8" s="36">
        <v>57.21</v>
      </c>
    </row>
    <row r="10" spans="2:33" x14ac:dyDescent="0.2">
      <c r="B10" s="36">
        <v>29.606999999999999</v>
      </c>
      <c r="C10" s="36">
        <v>32.073</v>
      </c>
      <c r="D10" s="36">
        <v>33.213999999999999</v>
      </c>
      <c r="O10" s="36">
        <v>54.466999999999999</v>
      </c>
    </row>
    <row r="12" spans="2:33" x14ac:dyDescent="0.2">
      <c r="B12" s="36">
        <v>31.042999999999999</v>
      </c>
      <c r="C12" s="36">
        <v>33.816000000000003</v>
      </c>
      <c r="D12" s="36">
        <v>34.027000000000001</v>
      </c>
      <c r="O12" s="36">
        <v>55.09</v>
      </c>
    </row>
    <row r="14" spans="2:33" x14ac:dyDescent="0.2">
      <c r="B14" s="36">
        <v>29.597999999999999</v>
      </c>
      <c r="C14" s="36">
        <v>31.75</v>
      </c>
      <c r="D14" s="36">
        <v>31.524999999999999</v>
      </c>
      <c r="O14" s="36">
        <v>55.790999999999997</v>
      </c>
      <c r="AG14" s="36">
        <v>15.692</v>
      </c>
    </row>
    <row r="16" spans="2:33" x14ac:dyDescent="0.2">
      <c r="B16" s="36">
        <v>30.734999999999999</v>
      </c>
      <c r="C16" s="36">
        <v>31.321000000000002</v>
      </c>
      <c r="D16" s="36">
        <v>32.128999999999998</v>
      </c>
      <c r="O16" s="36">
        <v>52.13</v>
      </c>
    </row>
    <row r="18" spans="2:33" x14ac:dyDescent="0.2">
      <c r="B18" s="36">
        <v>30.13</v>
      </c>
      <c r="C18" s="36">
        <v>31.486999999999998</v>
      </c>
      <c r="D18" s="36">
        <v>30.698</v>
      </c>
      <c r="O18" s="36">
        <v>52.488</v>
      </c>
    </row>
    <row r="20" spans="2:33" x14ac:dyDescent="0.2">
      <c r="B20" s="36">
        <v>28.919</v>
      </c>
      <c r="C20" s="36">
        <v>30.003</v>
      </c>
      <c r="D20" s="36">
        <v>31.283000000000001</v>
      </c>
      <c r="O20" s="36">
        <v>54.046999999999997</v>
      </c>
    </row>
    <row r="22" spans="2:33" x14ac:dyDescent="0.2">
      <c r="B22" s="36">
        <v>31.588000000000001</v>
      </c>
      <c r="C22" s="36">
        <v>31.587</v>
      </c>
      <c r="D22" s="36">
        <v>31.768999999999998</v>
      </c>
      <c r="O22" s="36">
        <v>53.704999999999998</v>
      </c>
    </row>
    <row r="24" spans="2:33" x14ac:dyDescent="0.2">
      <c r="B24" s="36">
        <v>30.951000000000001</v>
      </c>
      <c r="C24" s="36">
        <v>31.59</v>
      </c>
      <c r="D24" s="36">
        <v>32.704000000000001</v>
      </c>
      <c r="O24" s="36">
        <v>53.487000000000002</v>
      </c>
    </row>
    <row r="26" spans="2:33" x14ac:dyDescent="0.2">
      <c r="B26" s="36">
        <v>33.200000000000003</v>
      </c>
      <c r="C26" s="36">
        <v>34.633000000000003</v>
      </c>
      <c r="D26" s="36">
        <v>33.584000000000003</v>
      </c>
      <c r="O26" s="36">
        <v>60.323</v>
      </c>
    </row>
    <row r="27" spans="2:33" x14ac:dyDescent="0.2">
      <c r="AG27" s="36">
        <f>SUM(AF27*AH15)</f>
        <v>0</v>
      </c>
    </row>
    <row r="35" spans="1:8" ht="50.25" customHeight="1" x14ac:dyDescent="0.2"/>
    <row r="36" spans="1:8" x14ac:dyDescent="0.2">
      <c r="A36" s="37" t="s">
        <v>54</v>
      </c>
    </row>
    <row r="40" spans="1:8" x14ac:dyDescent="0.2">
      <c r="B40" s="43"/>
      <c r="C40" s="43"/>
      <c r="D40" s="43"/>
    </row>
    <row r="41" spans="1:8" ht="13.5" x14ac:dyDescent="0.25">
      <c r="A41" s="182"/>
      <c r="B41" s="184" t="s">
        <v>5</v>
      </c>
      <c r="C41" s="184" t="s">
        <v>6</v>
      </c>
      <c r="D41" s="184" t="s">
        <v>7</v>
      </c>
      <c r="E41" s="184" t="s">
        <v>2</v>
      </c>
      <c r="F41" s="184" t="s">
        <v>1</v>
      </c>
      <c r="G41" s="184" t="s">
        <v>3</v>
      </c>
      <c r="H41" s="189"/>
    </row>
    <row r="42" spans="1:8" ht="13.5" x14ac:dyDescent="0.25">
      <c r="A42" s="185">
        <v>2006</v>
      </c>
      <c r="B42" s="178">
        <v>175339466.18285716</v>
      </c>
      <c r="C42" s="178">
        <v>360517338.80857146</v>
      </c>
      <c r="D42" s="178">
        <v>118438285.28714286</v>
      </c>
      <c r="E42" s="178">
        <v>73029558.509002</v>
      </c>
      <c r="F42" s="178">
        <v>654295090.27857149</v>
      </c>
      <c r="G42" s="180">
        <f t="shared" ref="G42:G60" si="0">SUM(E42+F42)</f>
        <v>727324648.78757346</v>
      </c>
      <c r="H42" s="191"/>
    </row>
    <row r="43" spans="1:8" ht="13.5" x14ac:dyDescent="0.25">
      <c r="A43" s="185">
        <v>2007</v>
      </c>
      <c r="B43" s="178">
        <v>164501906</v>
      </c>
      <c r="C43" s="178">
        <v>384773948.93720925</v>
      </c>
      <c r="D43" s="178">
        <v>121045053.81</v>
      </c>
      <c r="E43" s="178">
        <v>81603702.511627913</v>
      </c>
      <c r="F43" s="178">
        <v>670320908.74720919</v>
      </c>
      <c r="G43" s="180">
        <f t="shared" si="0"/>
        <v>751924611.2588371</v>
      </c>
      <c r="H43" s="191"/>
    </row>
    <row r="44" spans="1:8" ht="13.5" x14ac:dyDescent="0.25">
      <c r="A44" s="185">
        <v>2008</v>
      </c>
      <c r="B44" s="178">
        <v>157180562</v>
      </c>
      <c r="C44" s="178">
        <v>391534601.5</v>
      </c>
      <c r="D44" s="178">
        <v>123045406.11</v>
      </c>
      <c r="E44" s="178">
        <v>83183162</v>
      </c>
      <c r="F44" s="178">
        <v>671760569.61000001</v>
      </c>
      <c r="G44" s="180">
        <f t="shared" si="0"/>
        <v>754943731.61000001</v>
      </c>
      <c r="H44" s="191"/>
    </row>
    <row r="45" spans="1:8" ht="13.5" x14ac:dyDescent="0.25">
      <c r="A45" s="185">
        <v>2009</v>
      </c>
      <c r="B45" s="178">
        <v>149340756</v>
      </c>
      <c r="C45" s="178">
        <v>393681149.26999998</v>
      </c>
      <c r="D45" s="178">
        <v>113274544.54000001</v>
      </c>
      <c r="E45" s="178">
        <v>85084570</v>
      </c>
      <c r="F45" s="178">
        <v>656296449.80999994</v>
      </c>
      <c r="G45" s="180">
        <f t="shared" si="0"/>
        <v>741381019.80999994</v>
      </c>
      <c r="H45" s="191"/>
    </row>
    <row r="46" spans="1:8" ht="13.5" x14ac:dyDescent="0.25">
      <c r="A46" s="185">
        <v>2010</v>
      </c>
      <c r="B46" s="178">
        <v>162001967.25</v>
      </c>
      <c r="C46" s="178">
        <v>422618996.50999999</v>
      </c>
      <c r="D46" s="178">
        <v>119095606.75</v>
      </c>
      <c r="E46" s="178">
        <v>92390238</v>
      </c>
      <c r="F46" s="178">
        <v>703716570.50999999</v>
      </c>
      <c r="G46" s="180">
        <f t="shared" si="0"/>
        <v>796106808.50999999</v>
      </c>
      <c r="H46" s="191"/>
    </row>
    <row r="47" spans="1:8" ht="13.5" x14ac:dyDescent="0.25">
      <c r="A47" s="185">
        <v>2011</v>
      </c>
      <c r="B47" s="178">
        <v>168394228</v>
      </c>
      <c r="C47" s="178">
        <v>422405800.06999999</v>
      </c>
      <c r="D47" s="178">
        <v>130794507.5</v>
      </c>
      <c r="E47" s="178">
        <v>88537774</v>
      </c>
      <c r="F47" s="178">
        <v>721594535.56999993</v>
      </c>
      <c r="G47" s="180">
        <f t="shared" si="0"/>
        <v>810132309.56999993</v>
      </c>
      <c r="H47" s="191"/>
    </row>
    <row r="48" spans="1:8" ht="13.5" x14ac:dyDescent="0.25">
      <c r="A48" s="185">
        <v>2012</v>
      </c>
      <c r="B48" s="178">
        <v>188367038</v>
      </c>
      <c r="C48" s="178">
        <v>430907270</v>
      </c>
      <c r="D48" s="178">
        <v>130205345</v>
      </c>
      <c r="E48" s="178">
        <v>99126506</v>
      </c>
      <c r="F48" s="178">
        <v>749479653</v>
      </c>
      <c r="G48" s="180">
        <f t="shared" si="0"/>
        <v>848606159</v>
      </c>
      <c r="H48" s="191"/>
    </row>
    <row r="49" spans="1:8" ht="13.5" x14ac:dyDescent="0.25">
      <c r="A49" s="186">
        <v>2013</v>
      </c>
      <c r="B49" s="178">
        <v>194847876</v>
      </c>
      <c r="C49" s="178">
        <v>464058604.99000001</v>
      </c>
      <c r="D49" s="178">
        <v>113086975</v>
      </c>
      <c r="E49" s="178">
        <v>100869339</v>
      </c>
      <c r="F49" s="178">
        <v>771993455.99000001</v>
      </c>
      <c r="G49" s="180">
        <f t="shared" si="0"/>
        <v>872862794.99000001</v>
      </c>
      <c r="H49" s="192"/>
    </row>
    <row r="50" spans="1:8" ht="13.5" x14ac:dyDescent="0.25">
      <c r="A50" s="186">
        <v>2014</v>
      </c>
      <c r="B50" s="180">
        <v>205700295</v>
      </c>
      <c r="C50" s="180">
        <v>475958212.91000003</v>
      </c>
      <c r="D50" s="180">
        <v>112429199</v>
      </c>
      <c r="E50" s="180">
        <v>103307752</v>
      </c>
      <c r="F50" s="178">
        <v>794087706.91000009</v>
      </c>
      <c r="G50" s="180">
        <f t="shared" si="0"/>
        <v>897395458.91000009</v>
      </c>
      <c r="H50" s="189"/>
    </row>
    <row r="51" spans="1:8" ht="13.5" x14ac:dyDescent="0.25">
      <c r="A51" s="187" t="s">
        <v>44</v>
      </c>
      <c r="B51" s="175">
        <v>207805228</v>
      </c>
      <c r="C51" s="175">
        <v>498907361</v>
      </c>
      <c r="D51" s="175">
        <v>104260583</v>
      </c>
      <c r="E51" s="175">
        <v>114162606</v>
      </c>
      <c r="F51" s="178">
        <v>810973172</v>
      </c>
      <c r="G51" s="180">
        <f t="shared" si="0"/>
        <v>925135778</v>
      </c>
      <c r="H51" s="189"/>
    </row>
    <row r="52" spans="1:8" ht="13.5" x14ac:dyDescent="0.25">
      <c r="A52" s="188">
        <v>2016</v>
      </c>
      <c r="B52" s="180">
        <v>206113893</v>
      </c>
      <c r="C52" s="180">
        <v>492286962.81818181</v>
      </c>
      <c r="D52" s="180">
        <v>107541574</v>
      </c>
      <c r="E52" s="180">
        <v>125562383</v>
      </c>
      <c r="F52" s="178">
        <v>805942429.81818175</v>
      </c>
      <c r="G52" s="180">
        <f t="shared" si="0"/>
        <v>931504812.81818175</v>
      </c>
      <c r="H52" s="189"/>
    </row>
    <row r="53" spans="1:8" ht="13.5" x14ac:dyDescent="0.25">
      <c r="A53" s="187">
        <v>2017</v>
      </c>
      <c r="B53" s="175">
        <v>199226622</v>
      </c>
      <c r="C53" s="175">
        <v>513804930.72727275</v>
      </c>
      <c r="D53" s="175">
        <v>96833914</v>
      </c>
      <c r="E53" s="175">
        <v>135506544</v>
      </c>
      <c r="F53" s="178">
        <v>809865466.72727275</v>
      </c>
      <c r="G53" s="180">
        <f t="shared" si="0"/>
        <v>945372010.72727275</v>
      </c>
      <c r="H53" s="189"/>
    </row>
    <row r="54" spans="1:8" ht="13.5" x14ac:dyDescent="0.25">
      <c r="A54" s="187" t="s">
        <v>51</v>
      </c>
      <c r="B54" s="175">
        <v>191297586</v>
      </c>
      <c r="C54" s="175">
        <v>528233315.44999999</v>
      </c>
      <c r="D54" s="175">
        <v>96843381</v>
      </c>
      <c r="E54" s="180">
        <v>149687000</v>
      </c>
      <c r="F54" s="178">
        <v>816374282.44999993</v>
      </c>
      <c r="G54" s="180">
        <f t="shared" si="0"/>
        <v>966061282.44999993</v>
      </c>
      <c r="H54" s="189"/>
    </row>
    <row r="55" spans="1:8" ht="13.5" x14ac:dyDescent="0.25">
      <c r="A55" s="187">
        <v>2019</v>
      </c>
      <c r="B55" s="180">
        <v>181473546</v>
      </c>
      <c r="C55" s="180">
        <v>529633663</v>
      </c>
      <c r="D55" s="180">
        <v>100253818</v>
      </c>
      <c r="E55" s="180">
        <v>167785373</v>
      </c>
      <c r="F55" s="180">
        <v>811361027</v>
      </c>
      <c r="G55" s="180">
        <f t="shared" si="0"/>
        <v>979146400</v>
      </c>
      <c r="H55" s="189"/>
    </row>
    <row r="56" spans="1:8" ht="13.5" x14ac:dyDescent="0.25">
      <c r="A56" s="187" t="s">
        <v>56</v>
      </c>
      <c r="B56" s="180">
        <v>175200000</v>
      </c>
      <c r="C56" s="180">
        <v>480000000</v>
      </c>
      <c r="D56" s="180">
        <v>91100000</v>
      </c>
      <c r="E56" s="177">
        <v>181160000</v>
      </c>
      <c r="F56" s="177">
        <v>746300000</v>
      </c>
      <c r="G56" s="180">
        <f t="shared" si="0"/>
        <v>927460000</v>
      </c>
      <c r="H56" s="189" t="s">
        <v>59</v>
      </c>
    </row>
    <row r="57" spans="1:8" ht="13.5" x14ac:dyDescent="0.25">
      <c r="A57" s="187" t="s">
        <v>58</v>
      </c>
      <c r="B57" s="180">
        <v>186397000</v>
      </c>
      <c r="C57" s="180">
        <v>486598000</v>
      </c>
      <c r="D57" s="180">
        <v>88151000</v>
      </c>
      <c r="E57" s="177">
        <v>196783000</v>
      </c>
      <c r="F57" s="177">
        <v>760986000</v>
      </c>
      <c r="G57" s="180">
        <f t="shared" si="0"/>
        <v>957769000</v>
      </c>
      <c r="H57" s="189"/>
    </row>
    <row r="58" spans="1:8" ht="13.5" x14ac:dyDescent="0.25">
      <c r="A58" s="187" t="s">
        <v>66</v>
      </c>
      <c r="B58" s="180">
        <v>179087000</v>
      </c>
      <c r="C58" s="180">
        <v>461643000</v>
      </c>
      <c r="D58" s="180">
        <v>89327000</v>
      </c>
      <c r="E58" s="177">
        <v>205809000</v>
      </c>
      <c r="F58" s="177">
        <v>730056000</v>
      </c>
      <c r="G58" s="180">
        <f t="shared" si="0"/>
        <v>935865000</v>
      </c>
    </row>
    <row r="59" spans="1:8" ht="13.5" x14ac:dyDescent="0.25">
      <c r="A59" s="187" t="s">
        <v>67</v>
      </c>
      <c r="B59" s="180">
        <v>167287000</v>
      </c>
      <c r="C59" s="180">
        <v>441668000</v>
      </c>
      <c r="D59" s="180">
        <v>83962000</v>
      </c>
      <c r="E59" s="177">
        <v>194971000</v>
      </c>
      <c r="F59" s="177">
        <v>692901000</v>
      </c>
      <c r="G59" s="180">
        <f t="shared" si="0"/>
        <v>887872000</v>
      </c>
    </row>
    <row r="60" spans="1:8" ht="13.5" x14ac:dyDescent="0.25">
      <c r="A60" s="187" t="s">
        <v>69</v>
      </c>
      <c r="B60" s="180">
        <v>148369000</v>
      </c>
      <c r="C60" s="180">
        <v>449524000</v>
      </c>
      <c r="D60" s="180">
        <v>75853000</v>
      </c>
      <c r="E60" s="177">
        <v>201265000</v>
      </c>
      <c r="F60" s="177">
        <v>674260000</v>
      </c>
      <c r="G60" s="180">
        <f t="shared" si="0"/>
        <v>875525000</v>
      </c>
    </row>
  </sheetData>
  <phoneticPr fontId="8" type="noConversion"/>
  <pageMargins left="0.7" right="0.7" top="0.75" bottom="0.75" header="0.3" footer="0.3"/>
  <pageSetup scale="5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DA8A-866B-4A0A-9755-FF1E2A99A0C1}">
  <sheetPr>
    <tabColor rgb="FF0070C0"/>
  </sheetPr>
  <dimension ref="A4:BB144"/>
  <sheetViews>
    <sheetView topLeftCell="A70" zoomScaleNormal="100" workbookViewId="0">
      <selection activeCell="AG27" sqref="AG27"/>
    </sheetView>
  </sheetViews>
  <sheetFormatPr defaultRowHeight="12.75" x14ac:dyDescent="0.2"/>
  <cols>
    <col min="1" max="1" width="9.140625" style="36"/>
    <col min="2" max="2" width="12" style="38" customWidth="1"/>
    <col min="3" max="3" width="11.7109375" style="38" customWidth="1"/>
    <col min="4" max="4" width="12" style="38" customWidth="1"/>
    <col min="5" max="5" width="13.140625" style="38" customWidth="1"/>
    <col min="6" max="6" width="14.5703125" style="38" customWidth="1"/>
    <col min="7" max="7" width="13.28515625" style="38" customWidth="1"/>
    <col min="8" max="16384" width="9.140625" style="36"/>
  </cols>
  <sheetData>
    <row r="4" spans="2:33" x14ac:dyDescent="0.2">
      <c r="B4" s="38">
        <v>29.468</v>
      </c>
      <c r="C4" s="38">
        <v>32.939</v>
      </c>
      <c r="D4" s="38">
        <v>34.295999999999999</v>
      </c>
    </row>
    <row r="6" spans="2:33" x14ac:dyDescent="0.2">
      <c r="B6" s="38">
        <v>27.055</v>
      </c>
      <c r="C6" s="38">
        <v>29.66</v>
      </c>
      <c r="D6" s="38">
        <v>32.087000000000003</v>
      </c>
    </row>
    <row r="8" spans="2:33" x14ac:dyDescent="0.2">
      <c r="B8" s="38">
        <v>28.225000000000001</v>
      </c>
      <c r="C8" s="38">
        <v>33.911999999999999</v>
      </c>
      <c r="D8" s="38">
        <v>34.22</v>
      </c>
    </row>
    <row r="10" spans="2:33" x14ac:dyDescent="0.2">
      <c r="B10" s="38">
        <v>29.606999999999999</v>
      </c>
      <c r="C10" s="38">
        <v>32.073</v>
      </c>
      <c r="D10" s="38">
        <v>33.213999999999999</v>
      </c>
    </row>
    <row r="12" spans="2:33" x14ac:dyDescent="0.2">
      <c r="B12" s="38">
        <v>31.042999999999999</v>
      </c>
      <c r="C12" s="38">
        <v>33.816000000000003</v>
      </c>
      <c r="D12" s="38">
        <v>34.027000000000001</v>
      </c>
    </row>
    <row r="14" spans="2:33" x14ac:dyDescent="0.2">
      <c r="B14" s="38">
        <v>29.597999999999999</v>
      </c>
      <c r="C14" s="38">
        <v>31.75</v>
      </c>
      <c r="D14" s="38">
        <v>31.524999999999999</v>
      </c>
      <c r="AG14" s="36">
        <v>15.692</v>
      </c>
    </row>
    <row r="16" spans="2:33" x14ac:dyDescent="0.2">
      <c r="B16" s="38">
        <v>30.734999999999999</v>
      </c>
      <c r="C16" s="38">
        <v>31.321000000000002</v>
      </c>
      <c r="D16" s="38">
        <v>32.128999999999998</v>
      </c>
    </row>
    <row r="18" spans="2:33" x14ac:dyDescent="0.2">
      <c r="B18" s="38">
        <v>30.13</v>
      </c>
      <c r="C18" s="38">
        <v>31.486999999999998</v>
      </c>
      <c r="D18" s="38">
        <v>30.698</v>
      </c>
    </row>
    <row r="20" spans="2:33" x14ac:dyDescent="0.2">
      <c r="B20" s="38">
        <v>28.919</v>
      </c>
      <c r="C20" s="38">
        <v>30.003</v>
      </c>
      <c r="D20" s="38">
        <v>31.283000000000001</v>
      </c>
    </row>
    <row r="22" spans="2:33" x14ac:dyDescent="0.2">
      <c r="B22" s="38">
        <v>31.588000000000001</v>
      </c>
      <c r="C22" s="38">
        <v>31.587</v>
      </c>
      <c r="D22" s="38">
        <v>31.768999999999998</v>
      </c>
    </row>
    <row r="24" spans="2:33" x14ac:dyDescent="0.2">
      <c r="B24" s="38">
        <v>30.951000000000001</v>
      </c>
      <c r="C24" s="38">
        <v>31.59</v>
      </c>
      <c r="D24" s="38">
        <v>32.704000000000001</v>
      </c>
    </row>
    <row r="26" spans="2:33" x14ac:dyDescent="0.2">
      <c r="B26" s="38">
        <v>33.200000000000003</v>
      </c>
      <c r="C26" s="38">
        <v>34.633000000000003</v>
      </c>
      <c r="D26" s="38">
        <v>33.584000000000003</v>
      </c>
    </row>
    <row r="27" spans="2:33" x14ac:dyDescent="0.2">
      <c r="AG27" s="36">
        <f>SUM(AF27*AH15)</f>
        <v>0</v>
      </c>
    </row>
    <row r="38" spans="1:4" x14ac:dyDescent="0.2">
      <c r="A38" s="37" t="s">
        <v>54</v>
      </c>
    </row>
    <row r="40" spans="1:4" x14ac:dyDescent="0.2">
      <c r="B40" s="42"/>
      <c r="C40" s="42"/>
      <c r="D40" s="42"/>
    </row>
    <row r="42" spans="1:4" x14ac:dyDescent="0.2">
      <c r="C42" s="38">
        <v>384773949</v>
      </c>
    </row>
    <row r="43" spans="1:4" x14ac:dyDescent="0.2">
      <c r="C43" s="38">
        <v>391534602</v>
      </c>
    </row>
    <row r="53" spans="2:4" x14ac:dyDescent="0.2">
      <c r="B53" s="38">
        <v>654295090</v>
      </c>
      <c r="D53" s="38">
        <v>727324649</v>
      </c>
    </row>
    <row r="54" spans="2:4" x14ac:dyDescent="0.2">
      <c r="B54" s="38">
        <v>670320909</v>
      </c>
      <c r="D54" s="38">
        <v>751924611</v>
      </c>
    </row>
    <row r="75" spans="1:8" x14ac:dyDescent="0.2">
      <c r="A75" s="37" t="s">
        <v>54</v>
      </c>
    </row>
    <row r="78" spans="1:8" ht="13.5" x14ac:dyDescent="0.25">
      <c r="A78" s="182"/>
      <c r="B78" s="184" t="s">
        <v>5</v>
      </c>
      <c r="C78" s="184" t="s">
        <v>6</v>
      </c>
      <c r="D78" s="184" t="s">
        <v>7</v>
      </c>
      <c r="E78" s="184" t="s">
        <v>2</v>
      </c>
      <c r="F78" s="184" t="s">
        <v>1</v>
      </c>
      <c r="G78" s="184" t="s">
        <v>3</v>
      </c>
      <c r="H78" s="189"/>
    </row>
    <row r="79" spans="1:8" ht="13.5" x14ac:dyDescent="0.25">
      <c r="A79" s="185">
        <v>2006</v>
      </c>
      <c r="B79" s="178">
        <v>175339466.18285716</v>
      </c>
      <c r="C79" s="178">
        <v>360517338.80857146</v>
      </c>
      <c r="D79" s="178">
        <v>118438285.28714286</v>
      </c>
      <c r="E79" s="178">
        <v>73029558.509002</v>
      </c>
      <c r="F79" s="178">
        <v>654295090.27857149</v>
      </c>
      <c r="G79" s="180">
        <f t="shared" ref="G79:G97" si="0">SUM(E79+F79)</f>
        <v>727324648.78757346</v>
      </c>
      <c r="H79" s="189"/>
    </row>
    <row r="80" spans="1:8" ht="13.5" x14ac:dyDescent="0.25">
      <c r="A80" s="185">
        <v>2007</v>
      </c>
      <c r="B80" s="178">
        <v>164501906</v>
      </c>
      <c r="C80" s="178">
        <v>384773948.93720925</v>
      </c>
      <c r="D80" s="178">
        <v>121045053.81</v>
      </c>
      <c r="E80" s="178">
        <v>81603702.511627913</v>
      </c>
      <c r="F80" s="178">
        <v>670320908.74720919</v>
      </c>
      <c r="G80" s="180">
        <f t="shared" si="0"/>
        <v>751924611.2588371</v>
      </c>
      <c r="H80" s="189"/>
    </row>
    <row r="81" spans="1:54" ht="13.5" x14ac:dyDescent="0.25">
      <c r="A81" s="185">
        <v>2008</v>
      </c>
      <c r="B81" s="178">
        <v>157180562</v>
      </c>
      <c r="C81" s="178">
        <v>391534601.5</v>
      </c>
      <c r="D81" s="178">
        <v>123045406.11</v>
      </c>
      <c r="E81" s="178">
        <v>83183162</v>
      </c>
      <c r="F81" s="178">
        <v>671760569.61000001</v>
      </c>
      <c r="G81" s="180">
        <f t="shared" si="0"/>
        <v>754943731.61000001</v>
      </c>
      <c r="H81" s="189"/>
    </row>
    <row r="82" spans="1:54" ht="13.5" x14ac:dyDescent="0.25">
      <c r="A82" s="185">
        <v>2009</v>
      </c>
      <c r="B82" s="178">
        <v>149340756</v>
      </c>
      <c r="C82" s="178">
        <v>393681149.26999998</v>
      </c>
      <c r="D82" s="178">
        <v>113274544.54000001</v>
      </c>
      <c r="E82" s="178">
        <v>85084570</v>
      </c>
      <c r="F82" s="178">
        <v>656296449.80999994</v>
      </c>
      <c r="G82" s="180">
        <f t="shared" si="0"/>
        <v>741381019.80999994</v>
      </c>
      <c r="H82" s="189"/>
    </row>
    <row r="83" spans="1:54" ht="13.5" x14ac:dyDescent="0.25">
      <c r="A83" s="185">
        <v>2010</v>
      </c>
      <c r="B83" s="178">
        <v>162001967.25</v>
      </c>
      <c r="C83" s="178">
        <v>422618996.50999999</v>
      </c>
      <c r="D83" s="178">
        <v>119095606.75</v>
      </c>
      <c r="E83" s="178">
        <v>92390238</v>
      </c>
      <c r="F83" s="178">
        <v>703716570.50999999</v>
      </c>
      <c r="G83" s="180">
        <f t="shared" si="0"/>
        <v>796106808.50999999</v>
      </c>
      <c r="H83" s="189"/>
    </row>
    <row r="84" spans="1:54" ht="13.5" x14ac:dyDescent="0.25">
      <c r="A84" s="185">
        <v>2011</v>
      </c>
      <c r="B84" s="178">
        <v>168394228</v>
      </c>
      <c r="C84" s="178">
        <v>422405800.06999999</v>
      </c>
      <c r="D84" s="178">
        <v>130794507.5</v>
      </c>
      <c r="E84" s="178">
        <v>88537774</v>
      </c>
      <c r="F84" s="178">
        <v>721594535.56999993</v>
      </c>
      <c r="G84" s="180">
        <f t="shared" si="0"/>
        <v>810132309.56999993</v>
      </c>
      <c r="H84" s="189"/>
    </row>
    <row r="85" spans="1:54" ht="13.5" x14ac:dyDescent="0.25">
      <c r="A85" s="185">
        <v>2012</v>
      </c>
      <c r="B85" s="178">
        <v>188367038</v>
      </c>
      <c r="C85" s="178">
        <v>430907270</v>
      </c>
      <c r="D85" s="178">
        <v>130205345</v>
      </c>
      <c r="E85" s="178">
        <v>99126506</v>
      </c>
      <c r="F85" s="178">
        <v>749479653</v>
      </c>
      <c r="G85" s="180">
        <f t="shared" si="0"/>
        <v>848606159</v>
      </c>
      <c r="H85" s="189"/>
    </row>
    <row r="86" spans="1:54" ht="13.5" x14ac:dyDescent="0.25">
      <c r="A86" s="186">
        <v>2013</v>
      </c>
      <c r="B86" s="178">
        <v>194847876</v>
      </c>
      <c r="C86" s="178">
        <v>464058604.99000001</v>
      </c>
      <c r="D86" s="178">
        <v>113086975</v>
      </c>
      <c r="E86" s="178">
        <v>100869339</v>
      </c>
      <c r="F86" s="178">
        <v>771993455.99000001</v>
      </c>
      <c r="G86" s="180">
        <f t="shared" si="0"/>
        <v>872862794.99000001</v>
      </c>
      <c r="H86" s="189"/>
    </row>
    <row r="87" spans="1:54" ht="13.5" x14ac:dyDescent="0.25">
      <c r="A87" s="186">
        <v>2014</v>
      </c>
      <c r="B87" s="180">
        <v>205700295</v>
      </c>
      <c r="C87" s="180">
        <v>475958212.91000003</v>
      </c>
      <c r="D87" s="180">
        <v>112429199</v>
      </c>
      <c r="E87" s="180">
        <v>103307752</v>
      </c>
      <c r="F87" s="178">
        <v>794087706.91000009</v>
      </c>
      <c r="G87" s="180">
        <f t="shared" si="0"/>
        <v>897395458.91000009</v>
      </c>
      <c r="H87" s="189"/>
    </row>
    <row r="88" spans="1:54" ht="13.5" x14ac:dyDescent="0.25">
      <c r="A88" s="187" t="s">
        <v>44</v>
      </c>
      <c r="B88" s="175">
        <v>207805228</v>
      </c>
      <c r="C88" s="175">
        <v>498907361</v>
      </c>
      <c r="D88" s="175">
        <v>104260583</v>
      </c>
      <c r="E88" s="175">
        <v>114162606</v>
      </c>
      <c r="F88" s="178">
        <v>810973172</v>
      </c>
      <c r="G88" s="180">
        <f t="shared" si="0"/>
        <v>925135778</v>
      </c>
      <c r="H88" s="189"/>
    </row>
    <row r="89" spans="1:54" ht="13.5" x14ac:dyDescent="0.25">
      <c r="A89" s="188">
        <v>2016</v>
      </c>
      <c r="B89" s="180">
        <v>206113893</v>
      </c>
      <c r="C89" s="180">
        <v>492286962.81818181</v>
      </c>
      <c r="D89" s="180">
        <v>107541574</v>
      </c>
      <c r="E89" s="180">
        <v>125562383</v>
      </c>
      <c r="F89" s="178">
        <v>805942429.81818175</v>
      </c>
      <c r="G89" s="180">
        <f t="shared" si="0"/>
        <v>931504812.81818175</v>
      </c>
      <c r="H89" s="189"/>
    </row>
    <row r="90" spans="1:54" ht="13.5" x14ac:dyDescent="0.25">
      <c r="A90" s="187">
        <v>2017</v>
      </c>
      <c r="B90" s="175">
        <v>199226622</v>
      </c>
      <c r="C90" s="175">
        <v>513804930.72727275</v>
      </c>
      <c r="D90" s="175">
        <v>96833914</v>
      </c>
      <c r="E90" s="175">
        <v>135506544</v>
      </c>
      <c r="F90" s="178">
        <v>809865466.72727275</v>
      </c>
      <c r="G90" s="180">
        <f t="shared" si="0"/>
        <v>945372010.72727275</v>
      </c>
      <c r="H90" s="189"/>
    </row>
    <row r="91" spans="1:54" ht="13.5" x14ac:dyDescent="0.25">
      <c r="A91" s="187" t="s">
        <v>51</v>
      </c>
      <c r="B91" s="175">
        <v>191297586</v>
      </c>
      <c r="C91" s="175">
        <v>528233315.44999999</v>
      </c>
      <c r="D91" s="175">
        <v>96843381</v>
      </c>
      <c r="E91" s="180">
        <v>149687000</v>
      </c>
      <c r="F91" s="178">
        <v>816374282.44999993</v>
      </c>
      <c r="G91" s="180">
        <f t="shared" si="0"/>
        <v>966061282.44999993</v>
      </c>
      <c r="H91" s="193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</row>
    <row r="92" spans="1:54" ht="13.5" x14ac:dyDescent="0.25">
      <c r="A92" s="187">
        <v>2019</v>
      </c>
      <c r="B92" s="180">
        <v>181473546</v>
      </c>
      <c r="C92" s="180">
        <v>529633663</v>
      </c>
      <c r="D92" s="180">
        <v>100253818</v>
      </c>
      <c r="E92" s="180">
        <v>167785373</v>
      </c>
      <c r="F92" s="180">
        <v>811361027</v>
      </c>
      <c r="G92" s="180">
        <f t="shared" si="0"/>
        <v>979146400</v>
      </c>
      <c r="H92" s="189"/>
    </row>
    <row r="93" spans="1:54" ht="13.5" x14ac:dyDescent="0.25">
      <c r="A93" s="187" t="s">
        <v>56</v>
      </c>
      <c r="B93" s="180">
        <v>175200000</v>
      </c>
      <c r="C93" s="180">
        <v>480000000</v>
      </c>
      <c r="D93" s="180">
        <v>91100000</v>
      </c>
      <c r="E93" s="177">
        <v>181160000</v>
      </c>
      <c r="F93" s="177">
        <v>746300000</v>
      </c>
      <c r="G93" s="180">
        <f t="shared" si="0"/>
        <v>927460000</v>
      </c>
      <c r="H93" s="189" t="s">
        <v>59</v>
      </c>
    </row>
    <row r="94" spans="1:54" ht="13.5" x14ac:dyDescent="0.25">
      <c r="A94" s="187" t="s">
        <v>58</v>
      </c>
      <c r="B94" s="180">
        <v>186397000</v>
      </c>
      <c r="C94" s="180">
        <v>486598000</v>
      </c>
      <c r="D94" s="180">
        <v>88151000</v>
      </c>
      <c r="E94" s="177">
        <v>196783000</v>
      </c>
      <c r="F94" s="177">
        <v>760986000</v>
      </c>
      <c r="G94" s="180">
        <f t="shared" si="0"/>
        <v>957769000</v>
      </c>
      <c r="H94" s="189"/>
    </row>
    <row r="95" spans="1:54" ht="13.5" x14ac:dyDescent="0.25">
      <c r="A95" s="187" t="s">
        <v>66</v>
      </c>
      <c r="B95" s="180">
        <v>179087000</v>
      </c>
      <c r="C95" s="180">
        <v>461643000</v>
      </c>
      <c r="D95" s="180">
        <v>89327000</v>
      </c>
      <c r="E95" s="177">
        <v>205809000</v>
      </c>
      <c r="F95" s="177">
        <v>730056000</v>
      </c>
      <c r="G95" s="180">
        <f t="shared" si="0"/>
        <v>935865000</v>
      </c>
    </row>
    <row r="96" spans="1:54" ht="13.5" x14ac:dyDescent="0.25">
      <c r="A96" s="187" t="s">
        <v>67</v>
      </c>
      <c r="B96" s="180">
        <v>167287000</v>
      </c>
      <c r="C96" s="180">
        <v>441668000</v>
      </c>
      <c r="D96" s="180">
        <v>83962000</v>
      </c>
      <c r="E96" s="177">
        <v>194971000</v>
      </c>
      <c r="F96" s="177">
        <v>692901000</v>
      </c>
      <c r="G96" s="180">
        <f t="shared" si="0"/>
        <v>887872000</v>
      </c>
    </row>
    <row r="97" spans="1:7" ht="13.5" x14ac:dyDescent="0.25">
      <c r="A97" s="187" t="s">
        <v>69</v>
      </c>
      <c r="B97" s="180">
        <v>148369000</v>
      </c>
      <c r="C97" s="180">
        <v>449524000</v>
      </c>
      <c r="D97" s="180">
        <v>75853000</v>
      </c>
      <c r="E97" s="177">
        <v>201265000</v>
      </c>
      <c r="F97" s="177">
        <v>674260000</v>
      </c>
      <c r="G97" s="180">
        <f t="shared" si="0"/>
        <v>875525000</v>
      </c>
    </row>
    <row r="98" spans="1:7" x14ac:dyDescent="0.2">
      <c r="A98" s="39"/>
      <c r="G98" s="36"/>
    </row>
    <row r="99" spans="1:7" x14ac:dyDescent="0.2">
      <c r="A99" s="39"/>
      <c r="G99" s="36"/>
    </row>
    <row r="100" spans="1:7" x14ac:dyDescent="0.2">
      <c r="A100" s="39"/>
      <c r="G100" s="36"/>
    </row>
    <row r="101" spans="1:7" x14ac:dyDescent="0.2">
      <c r="A101" s="39"/>
      <c r="G101" s="36"/>
    </row>
    <row r="102" spans="1:7" x14ac:dyDescent="0.2">
      <c r="A102" s="39"/>
      <c r="G102" s="36"/>
    </row>
    <row r="103" spans="1:7" x14ac:dyDescent="0.2">
      <c r="A103" s="39"/>
      <c r="G103" s="36"/>
    </row>
    <row r="104" spans="1:7" x14ac:dyDescent="0.2">
      <c r="A104" s="39"/>
      <c r="G104" s="36"/>
    </row>
    <row r="105" spans="1:7" x14ac:dyDescent="0.2">
      <c r="A105" s="39"/>
      <c r="G105" s="36"/>
    </row>
    <row r="106" spans="1:7" x14ac:dyDescent="0.2">
      <c r="A106" s="39"/>
      <c r="G106" s="36"/>
    </row>
    <row r="107" spans="1:7" x14ac:dyDescent="0.2">
      <c r="A107" s="39"/>
      <c r="G107" s="36"/>
    </row>
    <row r="108" spans="1:7" x14ac:dyDescent="0.2">
      <c r="A108" s="39"/>
      <c r="G108" s="36"/>
    </row>
    <row r="109" spans="1:7" x14ac:dyDescent="0.2">
      <c r="A109" s="39"/>
      <c r="G109" s="36"/>
    </row>
    <row r="110" spans="1:7" x14ac:dyDescent="0.2">
      <c r="A110" s="39"/>
      <c r="G110" s="36"/>
    </row>
    <row r="111" spans="1:7" x14ac:dyDescent="0.2">
      <c r="A111" s="39"/>
      <c r="G111" s="36"/>
    </row>
    <row r="112" spans="1:7" x14ac:dyDescent="0.2">
      <c r="A112" s="39"/>
      <c r="G112" s="36"/>
    </row>
    <row r="113" spans="1:7" x14ac:dyDescent="0.2">
      <c r="A113" s="39"/>
      <c r="G113" s="36"/>
    </row>
    <row r="114" spans="1:7" x14ac:dyDescent="0.2">
      <c r="A114" s="39"/>
      <c r="G114" s="36"/>
    </row>
    <row r="115" spans="1:7" x14ac:dyDescent="0.2">
      <c r="A115" s="39"/>
      <c r="G115" s="36"/>
    </row>
    <row r="116" spans="1:7" x14ac:dyDescent="0.2">
      <c r="A116" s="39"/>
      <c r="G116" s="36"/>
    </row>
    <row r="117" spans="1:7" x14ac:dyDescent="0.2">
      <c r="A117" s="39"/>
      <c r="G117" s="36"/>
    </row>
    <row r="118" spans="1:7" x14ac:dyDescent="0.2">
      <c r="A118" s="39"/>
      <c r="G118" s="36"/>
    </row>
    <row r="119" spans="1:7" x14ac:dyDescent="0.2">
      <c r="A119" s="39"/>
      <c r="G119" s="36"/>
    </row>
    <row r="120" spans="1:7" x14ac:dyDescent="0.2">
      <c r="A120" s="39"/>
      <c r="G120" s="36"/>
    </row>
    <row r="121" spans="1:7" x14ac:dyDescent="0.2">
      <c r="A121" s="39"/>
      <c r="G121" s="36"/>
    </row>
    <row r="122" spans="1:7" x14ac:dyDescent="0.2">
      <c r="A122" s="39"/>
      <c r="G122" s="36"/>
    </row>
    <row r="123" spans="1:7" x14ac:dyDescent="0.2">
      <c r="A123" s="39"/>
      <c r="G123" s="36"/>
    </row>
    <row r="124" spans="1:7" x14ac:dyDescent="0.2">
      <c r="A124" s="39"/>
      <c r="G124" s="36"/>
    </row>
    <row r="125" spans="1:7" x14ac:dyDescent="0.2">
      <c r="A125" s="39"/>
      <c r="G125" s="36"/>
    </row>
    <row r="126" spans="1:7" x14ac:dyDescent="0.2">
      <c r="A126" s="39"/>
      <c r="G126" s="36"/>
    </row>
    <row r="127" spans="1:7" x14ac:dyDescent="0.2">
      <c r="A127" s="39"/>
      <c r="G127" s="36"/>
    </row>
    <row r="128" spans="1:7" x14ac:dyDescent="0.2">
      <c r="A128" s="39"/>
      <c r="G128" s="36"/>
    </row>
    <row r="129" spans="1:7" x14ac:dyDescent="0.2">
      <c r="A129" s="39"/>
      <c r="G129" s="36"/>
    </row>
    <row r="130" spans="1:7" x14ac:dyDescent="0.2">
      <c r="A130" s="39"/>
      <c r="G130" s="36"/>
    </row>
    <row r="131" spans="1:7" x14ac:dyDescent="0.2">
      <c r="A131" s="39"/>
      <c r="G131" s="36"/>
    </row>
    <row r="132" spans="1:7" x14ac:dyDescent="0.2">
      <c r="A132" s="39"/>
      <c r="G132" s="36"/>
    </row>
    <row r="133" spans="1:7" x14ac:dyDescent="0.2">
      <c r="A133" s="39"/>
      <c r="G133" s="36"/>
    </row>
    <row r="134" spans="1:7" x14ac:dyDescent="0.2">
      <c r="A134" s="39"/>
      <c r="G134" s="36"/>
    </row>
    <row r="135" spans="1:7" x14ac:dyDescent="0.2">
      <c r="A135" s="39"/>
      <c r="G135" s="36"/>
    </row>
    <row r="136" spans="1:7" x14ac:dyDescent="0.2">
      <c r="A136" s="39"/>
      <c r="G136" s="36"/>
    </row>
    <row r="137" spans="1:7" x14ac:dyDescent="0.2">
      <c r="A137" s="39"/>
      <c r="G137" s="36"/>
    </row>
    <row r="138" spans="1:7" x14ac:dyDescent="0.2">
      <c r="A138" s="39"/>
      <c r="G138" s="36"/>
    </row>
    <row r="139" spans="1:7" x14ac:dyDescent="0.2">
      <c r="A139" s="39"/>
      <c r="G139" s="36"/>
    </row>
    <row r="140" spans="1:7" x14ac:dyDescent="0.2">
      <c r="A140" s="39"/>
      <c r="G140" s="36"/>
    </row>
    <row r="141" spans="1:7" x14ac:dyDescent="0.2">
      <c r="A141" s="39"/>
      <c r="G141" s="36"/>
    </row>
    <row r="142" spans="1:7" x14ac:dyDescent="0.2">
      <c r="A142" s="39"/>
      <c r="G142" s="36"/>
    </row>
    <row r="143" spans="1:7" x14ac:dyDescent="0.2">
      <c r="A143" s="39"/>
      <c r="G143" s="36"/>
    </row>
    <row r="144" spans="1:7" x14ac:dyDescent="0.2">
      <c r="C144" s="36"/>
      <c r="D144" s="36"/>
    </row>
  </sheetData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342F-8BCD-4AD2-AE6D-D1F0796D446F}">
  <sheetPr>
    <tabColor theme="3" tint="0.39997558519241921"/>
    <pageSetUpPr fitToPage="1"/>
  </sheetPr>
  <dimension ref="A1:AO54"/>
  <sheetViews>
    <sheetView zoomScale="110" zoomScaleNormal="110" workbookViewId="0">
      <pane xSplit="2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5" customWidth="1"/>
    <col min="2" max="2" width="13.7109375" style="1" hidden="1" customWidth="1"/>
    <col min="3" max="18" width="7.28515625" style="1" hidden="1" customWidth="1"/>
    <col min="19" max="32" width="7.28515625" style="1" customWidth="1"/>
    <col min="33" max="33" width="7.28515625" style="4" customWidth="1"/>
    <col min="34" max="34" width="8.7109375" style="16" bestFit="1" customWidth="1"/>
    <col min="35" max="36" width="9.140625" style="1"/>
    <col min="37" max="37" width="10" style="1" customWidth="1"/>
    <col min="38" max="38" width="9.140625" style="1"/>
    <col min="39" max="39" width="9.140625" style="16"/>
    <col min="40" max="45" width="16.140625" style="1" customWidth="1"/>
    <col min="46" max="16384" width="9.140625" style="1"/>
  </cols>
  <sheetData>
    <row r="1" spans="1:41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41" ht="18.75" customHeight="1" x14ac:dyDescent="0.25">
      <c r="A2" s="207" t="s">
        <v>64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41" s="64" customFormat="1" ht="14.25" customHeight="1" x14ac:dyDescent="0.25">
      <c r="A3" s="137"/>
      <c r="B3" s="152">
        <v>1993</v>
      </c>
      <c r="C3" s="154">
        <v>1994</v>
      </c>
      <c r="D3" s="154">
        <v>1995</v>
      </c>
      <c r="E3" s="154">
        <v>1996</v>
      </c>
      <c r="F3" s="154">
        <v>1997</v>
      </c>
      <c r="G3" s="154">
        <v>1998</v>
      </c>
      <c r="H3" s="154">
        <v>1999</v>
      </c>
      <c r="I3" s="154">
        <v>2000</v>
      </c>
      <c r="J3" s="154">
        <v>2001</v>
      </c>
      <c r="K3" s="154">
        <v>2002</v>
      </c>
      <c r="L3" s="154">
        <v>2003</v>
      </c>
      <c r="M3" s="154">
        <v>2004</v>
      </c>
      <c r="N3" s="154">
        <v>2005</v>
      </c>
      <c r="O3" s="154">
        <v>2006</v>
      </c>
      <c r="P3" s="154">
        <v>2007</v>
      </c>
      <c r="Q3" s="154">
        <v>2008</v>
      </c>
      <c r="R3" s="154">
        <v>2009</v>
      </c>
      <c r="S3" s="154">
        <v>2010</v>
      </c>
      <c r="T3" s="154">
        <v>2011</v>
      </c>
      <c r="U3" s="154">
        <v>2012</v>
      </c>
      <c r="V3" s="154" t="s">
        <v>46</v>
      </c>
      <c r="W3" s="154" t="s">
        <v>45</v>
      </c>
      <c r="X3" s="154" t="s">
        <v>44</v>
      </c>
      <c r="Y3" s="154" t="s">
        <v>43</v>
      </c>
      <c r="Z3" s="154" t="s">
        <v>50</v>
      </c>
      <c r="AA3" s="154" t="s">
        <v>51</v>
      </c>
      <c r="AB3" s="154" t="s">
        <v>55</v>
      </c>
      <c r="AC3" s="154" t="s">
        <v>56</v>
      </c>
      <c r="AD3" s="154" t="s">
        <v>58</v>
      </c>
      <c r="AE3" s="154" t="s">
        <v>66</v>
      </c>
      <c r="AF3" s="156" t="s">
        <v>67</v>
      </c>
      <c r="AG3" s="156" t="s">
        <v>68</v>
      </c>
      <c r="AH3" s="156" t="s">
        <v>4</v>
      </c>
      <c r="AM3" s="65"/>
      <c r="AO3" s="66"/>
    </row>
    <row r="4" spans="1:41" s="68" customFormat="1" ht="14.25" customHeight="1" x14ac:dyDescent="0.2">
      <c r="A4" s="113" t="s">
        <v>42</v>
      </c>
      <c r="B4" s="49">
        <v>29.468</v>
      </c>
      <c r="C4" s="50">
        <v>44.33</v>
      </c>
      <c r="D4" s="50">
        <v>44.5</v>
      </c>
      <c r="E4" s="51">
        <v>46.5</v>
      </c>
      <c r="F4" s="51">
        <v>46.4</v>
      </c>
      <c r="G4" s="52">
        <v>50.29</v>
      </c>
      <c r="H4" s="51">
        <v>51.92</v>
      </c>
      <c r="I4" s="51">
        <v>54.13</v>
      </c>
      <c r="J4" s="52">
        <v>53.581000000000003</v>
      </c>
      <c r="K4" s="52">
        <v>54.01</v>
      </c>
      <c r="L4" s="51">
        <v>52.74</v>
      </c>
      <c r="M4" s="51">
        <v>56.22</v>
      </c>
      <c r="N4" s="55">
        <v>53.454000000000001</v>
      </c>
      <c r="O4" s="51">
        <v>54.183999999999997</v>
      </c>
      <c r="P4" s="52">
        <v>56.255000000000003</v>
      </c>
      <c r="Q4" s="51">
        <v>57.494</v>
      </c>
      <c r="R4" s="51">
        <v>54.780999999999999</v>
      </c>
      <c r="S4" s="51">
        <v>57.969000000000001</v>
      </c>
      <c r="T4" s="51">
        <v>59.953000000000003</v>
      </c>
      <c r="U4" s="51">
        <v>61.332000000000001</v>
      </c>
      <c r="V4" s="51">
        <v>65.781000000000006</v>
      </c>
      <c r="W4" s="51">
        <v>67.007999999999996</v>
      </c>
      <c r="X4" s="51">
        <v>69.349999999999994</v>
      </c>
      <c r="Y4" s="51">
        <v>68.174999999999997</v>
      </c>
      <c r="Z4" s="51">
        <v>68.582999999999998</v>
      </c>
      <c r="AA4" s="51">
        <v>69.97</v>
      </c>
      <c r="AB4" s="51">
        <v>68.614999999999995</v>
      </c>
      <c r="AC4" s="51">
        <v>69.867000000000004</v>
      </c>
      <c r="AD4" s="50">
        <v>64.667000000000002</v>
      </c>
      <c r="AE4" s="50">
        <v>61.59</v>
      </c>
      <c r="AF4" s="196">
        <v>63.688000000000002</v>
      </c>
      <c r="AG4" s="127">
        <v>59.298999999999999</v>
      </c>
      <c r="AH4" s="132">
        <f>SUM(AG4/AF4)</f>
        <v>0.93108591885441527</v>
      </c>
      <c r="AI4" s="67"/>
      <c r="AJ4" s="67"/>
      <c r="AK4" s="67"/>
      <c r="AL4" s="67"/>
      <c r="AM4" s="67"/>
      <c r="AN4" s="67"/>
      <c r="AO4" s="67"/>
    </row>
    <row r="5" spans="1:41" s="70" customFormat="1" ht="14.25" customHeight="1" x14ac:dyDescent="0.2">
      <c r="A5" s="114" t="s">
        <v>31</v>
      </c>
      <c r="B5" s="15"/>
      <c r="C5" s="45">
        <f t="shared" ref="C5:AD5" si="0">SUM(C4)</f>
        <v>44.33</v>
      </c>
      <c r="D5" s="45">
        <f t="shared" si="0"/>
        <v>44.5</v>
      </c>
      <c r="E5" s="45">
        <f t="shared" si="0"/>
        <v>46.5</v>
      </c>
      <c r="F5" s="46">
        <f t="shared" si="0"/>
        <v>46.4</v>
      </c>
      <c r="G5" s="46">
        <f t="shared" si="0"/>
        <v>50.29</v>
      </c>
      <c r="H5" s="46">
        <f t="shared" si="0"/>
        <v>51.92</v>
      </c>
      <c r="I5" s="46">
        <f t="shared" si="0"/>
        <v>54.13</v>
      </c>
      <c r="J5" s="46">
        <f t="shared" si="0"/>
        <v>53.581000000000003</v>
      </c>
      <c r="K5" s="46">
        <f t="shared" si="0"/>
        <v>54.01</v>
      </c>
      <c r="L5" s="46">
        <f t="shared" si="0"/>
        <v>52.74</v>
      </c>
      <c r="M5" s="46">
        <f t="shared" si="0"/>
        <v>56.22</v>
      </c>
      <c r="N5" s="46">
        <f t="shared" si="0"/>
        <v>53.454000000000001</v>
      </c>
      <c r="O5" s="45">
        <f t="shared" si="0"/>
        <v>54.183999999999997</v>
      </c>
      <c r="P5" s="46">
        <f t="shared" si="0"/>
        <v>56.255000000000003</v>
      </c>
      <c r="Q5" s="46">
        <f t="shared" si="0"/>
        <v>57.494</v>
      </c>
      <c r="R5" s="46">
        <f t="shared" si="0"/>
        <v>54.780999999999999</v>
      </c>
      <c r="S5" s="46">
        <f t="shared" si="0"/>
        <v>57.969000000000001</v>
      </c>
      <c r="T5" s="46">
        <f t="shared" si="0"/>
        <v>59.953000000000003</v>
      </c>
      <c r="U5" s="46">
        <f t="shared" si="0"/>
        <v>61.332000000000001</v>
      </c>
      <c r="V5" s="46">
        <f t="shared" si="0"/>
        <v>65.781000000000006</v>
      </c>
      <c r="W5" s="46">
        <f t="shared" si="0"/>
        <v>67.007999999999996</v>
      </c>
      <c r="X5" s="46">
        <f t="shared" si="0"/>
        <v>69.349999999999994</v>
      </c>
      <c r="Y5" s="46">
        <f t="shared" si="0"/>
        <v>68.174999999999997</v>
      </c>
      <c r="Z5" s="46">
        <f t="shared" si="0"/>
        <v>68.582999999999998</v>
      </c>
      <c r="AA5" s="46">
        <f t="shared" si="0"/>
        <v>69.97</v>
      </c>
      <c r="AB5" s="46">
        <f t="shared" si="0"/>
        <v>68.614999999999995</v>
      </c>
      <c r="AC5" s="46">
        <f t="shared" si="0"/>
        <v>69.867000000000004</v>
      </c>
      <c r="AD5" s="45">
        <f t="shared" si="0"/>
        <v>64.667000000000002</v>
      </c>
      <c r="AE5" s="45">
        <f t="shared" ref="AE5:AG5" si="1">SUM(AE4)</f>
        <v>61.59</v>
      </c>
      <c r="AF5" s="45">
        <f t="shared" si="1"/>
        <v>63.688000000000002</v>
      </c>
      <c r="AG5" s="45">
        <f t="shared" si="1"/>
        <v>59.298999999999999</v>
      </c>
      <c r="AH5" s="133">
        <f t="shared" ref="AH5:AH26" si="2">SUM(AG5/AF5)</f>
        <v>0.93108591885441527</v>
      </c>
      <c r="AI5" s="69"/>
      <c r="AJ5" s="69"/>
      <c r="AK5" s="69"/>
      <c r="AM5" s="69"/>
    </row>
    <row r="6" spans="1:41" s="68" customFormat="1" ht="14.25" customHeight="1" x14ac:dyDescent="0.2">
      <c r="A6" s="113" t="s">
        <v>41</v>
      </c>
      <c r="B6" s="49">
        <v>27.055</v>
      </c>
      <c r="C6" s="50">
        <v>40.119999999999997</v>
      </c>
      <c r="D6" s="50">
        <v>43.3</v>
      </c>
      <c r="E6" s="51">
        <v>40.6</v>
      </c>
      <c r="F6" s="51">
        <v>43.1</v>
      </c>
      <c r="G6" s="51">
        <v>45.44</v>
      </c>
      <c r="H6" s="51">
        <v>46.88</v>
      </c>
      <c r="I6" s="51">
        <v>52.06</v>
      </c>
      <c r="J6" s="51">
        <v>50.28</v>
      </c>
      <c r="K6" s="51">
        <v>51</v>
      </c>
      <c r="L6" s="51">
        <v>49.999000000000002</v>
      </c>
      <c r="M6" s="51">
        <v>54.835999999999999</v>
      </c>
      <c r="N6" s="55">
        <v>51.847000000000001</v>
      </c>
      <c r="O6" s="51">
        <v>51.372999999999998</v>
      </c>
      <c r="P6" s="51">
        <v>52.447000000000003</v>
      </c>
      <c r="Q6" s="51">
        <v>55.152000000000001</v>
      </c>
      <c r="R6" s="51">
        <v>51.926000000000002</v>
      </c>
      <c r="S6" s="51">
        <v>54.814</v>
      </c>
      <c r="T6" s="51">
        <v>57.716000000000001</v>
      </c>
      <c r="U6" s="51">
        <v>59.317</v>
      </c>
      <c r="V6" s="51">
        <v>60.37</v>
      </c>
      <c r="W6" s="51">
        <v>63.393000000000001</v>
      </c>
      <c r="X6" s="51">
        <v>65.861999999999995</v>
      </c>
      <c r="Y6" s="51">
        <v>65.878</v>
      </c>
      <c r="Z6" s="51">
        <v>63.53</v>
      </c>
      <c r="AA6" s="51">
        <v>65.323999999999998</v>
      </c>
      <c r="AB6" s="51">
        <v>62.939</v>
      </c>
      <c r="AC6" s="51">
        <v>66.641999999999996</v>
      </c>
      <c r="AD6" s="50">
        <v>60.067</v>
      </c>
      <c r="AE6" s="50">
        <v>59.433999999999997</v>
      </c>
      <c r="AF6" s="198">
        <v>56.65</v>
      </c>
      <c r="AG6" s="127">
        <v>57.311</v>
      </c>
      <c r="AH6" s="132">
        <f t="shared" si="2"/>
        <v>1.0116681376875551</v>
      </c>
      <c r="AI6" s="67"/>
      <c r="AJ6" s="67"/>
      <c r="AK6" s="67"/>
      <c r="AM6" s="67"/>
    </row>
    <row r="7" spans="1:41" s="70" customFormat="1" ht="14.25" customHeight="1" x14ac:dyDescent="0.2">
      <c r="A7" s="114" t="s">
        <v>31</v>
      </c>
      <c r="B7" s="15"/>
      <c r="C7" s="45">
        <f t="shared" ref="C7:AG7" si="3">SUM(C5:C6)</f>
        <v>84.449999999999989</v>
      </c>
      <c r="D7" s="45">
        <f t="shared" si="3"/>
        <v>87.8</v>
      </c>
      <c r="E7" s="45">
        <f t="shared" si="3"/>
        <v>87.1</v>
      </c>
      <c r="F7" s="46">
        <f t="shared" si="3"/>
        <v>89.5</v>
      </c>
      <c r="G7" s="46">
        <f t="shared" si="3"/>
        <v>95.72999999999999</v>
      </c>
      <c r="H7" s="46">
        <f t="shared" si="3"/>
        <v>98.800000000000011</v>
      </c>
      <c r="I7" s="46">
        <f t="shared" si="3"/>
        <v>106.19</v>
      </c>
      <c r="J7" s="46">
        <f t="shared" si="3"/>
        <v>103.861</v>
      </c>
      <c r="K7" s="46">
        <f t="shared" si="3"/>
        <v>105.00999999999999</v>
      </c>
      <c r="L7" s="46">
        <f t="shared" si="3"/>
        <v>102.739</v>
      </c>
      <c r="M7" s="46">
        <f t="shared" si="3"/>
        <v>111.056</v>
      </c>
      <c r="N7" s="46">
        <f t="shared" si="3"/>
        <v>105.301</v>
      </c>
      <c r="O7" s="45">
        <f t="shared" si="3"/>
        <v>105.55699999999999</v>
      </c>
      <c r="P7" s="46">
        <f t="shared" si="3"/>
        <v>108.702</v>
      </c>
      <c r="Q7" s="46">
        <f t="shared" si="3"/>
        <v>112.646</v>
      </c>
      <c r="R7" s="46">
        <f t="shared" si="3"/>
        <v>106.70699999999999</v>
      </c>
      <c r="S7" s="46">
        <f t="shared" si="3"/>
        <v>112.783</v>
      </c>
      <c r="T7" s="46">
        <f t="shared" si="3"/>
        <v>117.66900000000001</v>
      </c>
      <c r="U7" s="46">
        <f t="shared" si="3"/>
        <v>120.649</v>
      </c>
      <c r="V7" s="46">
        <f t="shared" si="3"/>
        <v>126.15100000000001</v>
      </c>
      <c r="W7" s="46">
        <f t="shared" si="3"/>
        <v>130.40100000000001</v>
      </c>
      <c r="X7" s="46">
        <f t="shared" si="3"/>
        <v>135.21199999999999</v>
      </c>
      <c r="Y7" s="46">
        <f t="shared" si="3"/>
        <v>134.053</v>
      </c>
      <c r="Z7" s="46">
        <f t="shared" si="3"/>
        <v>132.113</v>
      </c>
      <c r="AA7" s="46">
        <f t="shared" si="3"/>
        <v>135.29399999999998</v>
      </c>
      <c r="AB7" s="46">
        <f t="shared" si="3"/>
        <v>131.554</v>
      </c>
      <c r="AC7" s="46">
        <f t="shared" si="3"/>
        <v>136.50900000000001</v>
      </c>
      <c r="AD7" s="46">
        <f t="shared" si="3"/>
        <v>124.73400000000001</v>
      </c>
      <c r="AE7" s="46">
        <f t="shared" si="3"/>
        <v>121.024</v>
      </c>
      <c r="AF7" s="46">
        <f t="shared" si="3"/>
        <v>120.33799999999999</v>
      </c>
      <c r="AG7" s="46">
        <f t="shared" si="3"/>
        <v>116.61</v>
      </c>
      <c r="AH7" s="133">
        <f t="shared" si="2"/>
        <v>0.96902059199920232</v>
      </c>
      <c r="AI7" s="69"/>
      <c r="AJ7" s="69"/>
      <c r="AK7" s="69"/>
      <c r="AM7" s="69"/>
    </row>
    <row r="8" spans="1:41" s="68" customFormat="1" ht="14.25" customHeight="1" x14ac:dyDescent="0.2">
      <c r="A8" s="113" t="s">
        <v>40</v>
      </c>
      <c r="B8" s="49">
        <v>28.225000000000001</v>
      </c>
      <c r="C8" s="50">
        <v>43.68</v>
      </c>
      <c r="D8" s="50">
        <v>42.6</v>
      </c>
      <c r="E8" s="51">
        <v>46.3</v>
      </c>
      <c r="F8" s="54">
        <v>46.4</v>
      </c>
      <c r="G8" s="54">
        <v>50.89</v>
      </c>
      <c r="H8" s="54">
        <v>54.81</v>
      </c>
      <c r="I8" s="54">
        <v>56.62</v>
      </c>
      <c r="J8" s="54">
        <v>56.561999999999998</v>
      </c>
      <c r="K8" s="54">
        <v>57.73</v>
      </c>
      <c r="L8" s="54">
        <v>57.176000000000002</v>
      </c>
      <c r="M8" s="54">
        <v>60.774999999999999</v>
      </c>
      <c r="N8" s="71">
        <v>60.441000000000003</v>
      </c>
      <c r="O8" s="54">
        <v>57.21</v>
      </c>
      <c r="P8" s="54">
        <v>61.359000000000002</v>
      </c>
      <c r="Q8" s="54">
        <v>61.576999999999998</v>
      </c>
      <c r="R8" s="54">
        <v>58.451000000000001</v>
      </c>
      <c r="S8" s="54">
        <v>64.453999999999994</v>
      </c>
      <c r="T8" s="54">
        <v>65.56</v>
      </c>
      <c r="U8" s="54">
        <v>67.17</v>
      </c>
      <c r="V8" s="54">
        <v>69.308999999999997</v>
      </c>
      <c r="W8" s="54">
        <v>72.489999999999995</v>
      </c>
      <c r="X8" s="54">
        <v>74.316999999999993</v>
      </c>
      <c r="Y8" s="54">
        <v>72.671000000000006</v>
      </c>
      <c r="Z8" s="54">
        <v>71.78</v>
      </c>
      <c r="AA8" s="54">
        <v>74.87</v>
      </c>
      <c r="AB8" s="54">
        <v>72.995000000000005</v>
      </c>
      <c r="AC8" s="54">
        <v>65.325999999999993</v>
      </c>
      <c r="AD8" s="136">
        <v>71.222999999999999</v>
      </c>
      <c r="AE8" s="136">
        <v>68.320999999999998</v>
      </c>
      <c r="AF8" s="200">
        <v>64.741</v>
      </c>
      <c r="AG8" s="129">
        <v>61.185000000000002</v>
      </c>
      <c r="AH8" s="134">
        <f t="shared" si="2"/>
        <v>0.94507344650221659</v>
      </c>
      <c r="AI8" s="67"/>
      <c r="AJ8" s="67"/>
      <c r="AK8" s="72"/>
      <c r="AM8" s="67"/>
    </row>
    <row r="9" spans="1:41" s="70" customFormat="1" ht="14.25" customHeight="1" x14ac:dyDescent="0.2">
      <c r="A9" s="114" t="s">
        <v>31</v>
      </c>
      <c r="B9" s="15"/>
      <c r="C9" s="45">
        <f t="shared" ref="C9:AG9" si="4">SUM(C7:C8)</f>
        <v>128.13</v>
      </c>
      <c r="D9" s="45">
        <f t="shared" si="4"/>
        <v>130.4</v>
      </c>
      <c r="E9" s="45">
        <f t="shared" si="4"/>
        <v>133.39999999999998</v>
      </c>
      <c r="F9" s="47">
        <f t="shared" si="4"/>
        <v>135.9</v>
      </c>
      <c r="G9" s="47">
        <f t="shared" si="4"/>
        <v>146.62</v>
      </c>
      <c r="H9" s="47">
        <f t="shared" si="4"/>
        <v>153.61000000000001</v>
      </c>
      <c r="I9" s="47">
        <f t="shared" si="4"/>
        <v>162.81</v>
      </c>
      <c r="J9" s="47">
        <f t="shared" si="4"/>
        <v>160.423</v>
      </c>
      <c r="K9" s="47">
        <f t="shared" si="4"/>
        <v>162.73999999999998</v>
      </c>
      <c r="L9" s="47">
        <f t="shared" si="4"/>
        <v>159.91500000000002</v>
      </c>
      <c r="M9" s="47">
        <f t="shared" si="4"/>
        <v>171.83099999999999</v>
      </c>
      <c r="N9" s="47">
        <f t="shared" si="4"/>
        <v>165.74200000000002</v>
      </c>
      <c r="O9" s="47">
        <f t="shared" si="4"/>
        <v>162.767</v>
      </c>
      <c r="P9" s="47">
        <f t="shared" si="4"/>
        <v>170.06100000000001</v>
      </c>
      <c r="Q9" s="47">
        <f t="shared" si="4"/>
        <v>174.22300000000001</v>
      </c>
      <c r="R9" s="47">
        <f t="shared" si="4"/>
        <v>165.15799999999999</v>
      </c>
      <c r="S9" s="47">
        <f t="shared" si="4"/>
        <v>177.23699999999999</v>
      </c>
      <c r="T9" s="47">
        <f t="shared" si="4"/>
        <v>183.22900000000001</v>
      </c>
      <c r="U9" s="47">
        <f t="shared" si="4"/>
        <v>187.81900000000002</v>
      </c>
      <c r="V9" s="46">
        <f t="shared" si="4"/>
        <v>195.46</v>
      </c>
      <c r="W9" s="46">
        <f t="shared" si="4"/>
        <v>202.89100000000002</v>
      </c>
      <c r="X9" s="46">
        <f t="shared" si="4"/>
        <v>209.529</v>
      </c>
      <c r="Y9" s="46">
        <f t="shared" si="4"/>
        <v>206.72399999999999</v>
      </c>
      <c r="Z9" s="46">
        <f t="shared" si="4"/>
        <v>203.893</v>
      </c>
      <c r="AA9" s="46">
        <f t="shared" si="4"/>
        <v>210.16399999999999</v>
      </c>
      <c r="AB9" s="46">
        <f t="shared" si="4"/>
        <v>204.54900000000001</v>
      </c>
      <c r="AC9" s="46">
        <f t="shared" si="4"/>
        <v>201.83500000000001</v>
      </c>
      <c r="AD9" s="46">
        <f t="shared" si="4"/>
        <v>195.95699999999999</v>
      </c>
      <c r="AE9" s="46">
        <f t="shared" si="4"/>
        <v>189.345</v>
      </c>
      <c r="AF9" s="46">
        <f t="shared" si="4"/>
        <v>185.07900000000001</v>
      </c>
      <c r="AG9" s="46">
        <f t="shared" si="4"/>
        <v>177.79500000000002</v>
      </c>
      <c r="AH9" s="133">
        <f t="shared" si="2"/>
        <v>0.96064383317394197</v>
      </c>
      <c r="AI9" s="69"/>
      <c r="AJ9" s="69"/>
      <c r="AK9" s="69"/>
      <c r="AM9" s="69"/>
    </row>
    <row r="10" spans="1:41" s="68" customFormat="1" ht="14.25" customHeight="1" x14ac:dyDescent="0.2">
      <c r="A10" s="113" t="s">
        <v>39</v>
      </c>
      <c r="B10" s="49">
        <v>29.606999999999999</v>
      </c>
      <c r="C10" s="50">
        <v>43.7</v>
      </c>
      <c r="D10" s="50">
        <v>43.4</v>
      </c>
      <c r="E10" s="51">
        <v>46.3</v>
      </c>
      <c r="F10" s="55">
        <v>46.5</v>
      </c>
      <c r="G10" s="54">
        <v>51.15</v>
      </c>
      <c r="H10" s="54">
        <v>51.46</v>
      </c>
      <c r="I10" s="54">
        <v>54.631</v>
      </c>
      <c r="J10" s="54">
        <v>52.341000000000001</v>
      </c>
      <c r="K10" s="54">
        <v>51.6</v>
      </c>
      <c r="L10" s="54">
        <v>53.939</v>
      </c>
      <c r="M10" s="54">
        <v>54.622999999999998</v>
      </c>
      <c r="N10" s="71">
        <v>52.774000000000001</v>
      </c>
      <c r="O10" s="54">
        <v>54.466999999999999</v>
      </c>
      <c r="P10" s="54">
        <v>54.920999999999999</v>
      </c>
      <c r="Q10" s="54">
        <v>57.14</v>
      </c>
      <c r="R10" s="54">
        <v>54.658000000000001</v>
      </c>
      <c r="S10" s="54">
        <v>58.686</v>
      </c>
      <c r="T10" s="54">
        <v>59.125</v>
      </c>
      <c r="U10" s="54">
        <v>60.966999999999999</v>
      </c>
      <c r="V10" s="54">
        <v>63.688000000000002</v>
      </c>
      <c r="W10" s="54">
        <v>66.039000000000001</v>
      </c>
      <c r="X10" s="54">
        <v>66.716999999999999</v>
      </c>
      <c r="Y10" s="54">
        <v>66.182000000000002</v>
      </c>
      <c r="Z10" s="54">
        <v>66.423000000000002</v>
      </c>
      <c r="AA10" s="54">
        <v>67.817999999999998</v>
      </c>
      <c r="AB10" s="54">
        <v>66.713999999999999</v>
      </c>
      <c r="AC10" s="54">
        <v>52.923000000000002</v>
      </c>
      <c r="AD10" s="136">
        <v>63.640999999999998</v>
      </c>
      <c r="AE10" s="136">
        <v>61.515999999999998</v>
      </c>
      <c r="AF10" s="200">
        <v>58.692</v>
      </c>
      <c r="AG10" s="127">
        <v>56.947000000000003</v>
      </c>
      <c r="AH10" s="134">
        <f t="shared" si="2"/>
        <v>0.97026852041164047</v>
      </c>
      <c r="AI10" s="67"/>
      <c r="AJ10" s="67"/>
      <c r="AK10" s="67"/>
      <c r="AM10" s="67"/>
    </row>
    <row r="11" spans="1:41" s="70" customFormat="1" ht="14.25" customHeight="1" x14ac:dyDescent="0.2">
      <c r="A11" s="114" t="s">
        <v>31</v>
      </c>
      <c r="B11" s="15"/>
      <c r="C11" s="45">
        <f t="shared" ref="C11:AG11" si="5">SUM(C9:C10)</f>
        <v>171.82999999999998</v>
      </c>
      <c r="D11" s="45">
        <f t="shared" si="5"/>
        <v>173.8</v>
      </c>
      <c r="E11" s="45">
        <f t="shared" si="5"/>
        <v>179.7</v>
      </c>
      <c r="F11" s="46">
        <f t="shared" si="5"/>
        <v>182.4</v>
      </c>
      <c r="G11" s="45">
        <f t="shared" si="5"/>
        <v>197.77</v>
      </c>
      <c r="H11" s="46">
        <f t="shared" si="5"/>
        <v>205.07000000000002</v>
      </c>
      <c r="I11" s="46">
        <f t="shared" si="5"/>
        <v>217.441</v>
      </c>
      <c r="J11" s="46">
        <f t="shared" si="5"/>
        <v>212.76400000000001</v>
      </c>
      <c r="K11" s="46">
        <f t="shared" si="5"/>
        <v>214.33999999999997</v>
      </c>
      <c r="L11" s="46">
        <f t="shared" si="5"/>
        <v>213.85400000000001</v>
      </c>
      <c r="M11" s="46">
        <f t="shared" si="5"/>
        <v>226.45399999999998</v>
      </c>
      <c r="N11" s="46">
        <f t="shared" si="5"/>
        <v>218.51600000000002</v>
      </c>
      <c r="O11" s="46">
        <f t="shared" si="5"/>
        <v>217.23399999999998</v>
      </c>
      <c r="P11" s="46">
        <f t="shared" si="5"/>
        <v>224.982</v>
      </c>
      <c r="Q11" s="46">
        <f t="shared" si="5"/>
        <v>231.363</v>
      </c>
      <c r="R11" s="47">
        <f t="shared" si="5"/>
        <v>219.81599999999997</v>
      </c>
      <c r="S11" s="47">
        <f t="shared" si="5"/>
        <v>235.923</v>
      </c>
      <c r="T11" s="47">
        <f t="shared" si="5"/>
        <v>242.35400000000001</v>
      </c>
      <c r="U11" s="47">
        <f t="shared" si="5"/>
        <v>248.786</v>
      </c>
      <c r="V11" s="46">
        <f t="shared" si="5"/>
        <v>259.14800000000002</v>
      </c>
      <c r="W11" s="46">
        <f t="shared" si="5"/>
        <v>268.93</v>
      </c>
      <c r="X11" s="46">
        <f t="shared" si="5"/>
        <v>276.24599999999998</v>
      </c>
      <c r="Y11" s="46">
        <f t="shared" si="5"/>
        <v>272.90600000000001</v>
      </c>
      <c r="Z11" s="46">
        <f t="shared" si="5"/>
        <v>270.31600000000003</v>
      </c>
      <c r="AA11" s="46">
        <f t="shared" si="5"/>
        <v>277.98199999999997</v>
      </c>
      <c r="AB11" s="46">
        <f t="shared" si="5"/>
        <v>271.26300000000003</v>
      </c>
      <c r="AC11" s="46">
        <f t="shared" si="5"/>
        <v>254.75800000000001</v>
      </c>
      <c r="AD11" s="46">
        <f t="shared" si="5"/>
        <v>259.59800000000001</v>
      </c>
      <c r="AE11" s="46">
        <f t="shared" si="5"/>
        <v>250.86099999999999</v>
      </c>
      <c r="AF11" s="46">
        <f t="shared" si="5"/>
        <v>243.77100000000002</v>
      </c>
      <c r="AG11" s="46">
        <f t="shared" si="5"/>
        <v>234.74200000000002</v>
      </c>
      <c r="AH11" s="133">
        <f t="shared" si="2"/>
        <v>0.96296113975821573</v>
      </c>
      <c r="AI11" s="69"/>
      <c r="AJ11" s="69"/>
      <c r="AK11" s="69"/>
      <c r="AM11" s="69"/>
    </row>
    <row r="12" spans="1:41" s="68" customFormat="1" ht="14.25" customHeight="1" x14ac:dyDescent="0.2">
      <c r="A12" s="113" t="s">
        <v>38</v>
      </c>
      <c r="B12" s="49">
        <v>31.042999999999999</v>
      </c>
      <c r="C12" s="50">
        <v>36.4</v>
      </c>
      <c r="D12" s="51">
        <v>42.9</v>
      </c>
      <c r="E12" s="51">
        <v>43.4</v>
      </c>
      <c r="F12" s="55">
        <v>46.8</v>
      </c>
      <c r="G12" s="54">
        <v>48.7</v>
      </c>
      <c r="H12" s="54">
        <v>52.56</v>
      </c>
      <c r="I12" s="54">
        <v>53.816000000000003</v>
      </c>
      <c r="J12" s="54">
        <v>51.88</v>
      </c>
      <c r="K12" s="54">
        <v>53.66</v>
      </c>
      <c r="L12" s="54">
        <v>54.64</v>
      </c>
      <c r="M12" s="54">
        <v>56.148000000000003</v>
      </c>
      <c r="N12" s="71">
        <v>53.947000000000003</v>
      </c>
      <c r="O12" s="54">
        <v>55.09</v>
      </c>
      <c r="P12" s="54">
        <v>57.152000000000001</v>
      </c>
      <c r="Q12" s="54">
        <v>57.045000000000002</v>
      </c>
      <c r="R12" s="54">
        <v>55.375999999999998</v>
      </c>
      <c r="S12" s="54">
        <v>59.192</v>
      </c>
      <c r="T12" s="54">
        <v>60.329000000000001</v>
      </c>
      <c r="U12" s="54">
        <v>63.082000000000001</v>
      </c>
      <c r="V12" s="54">
        <v>63.610999999999997</v>
      </c>
      <c r="W12" s="54">
        <v>65.260999999999996</v>
      </c>
      <c r="X12" s="54">
        <v>67.094999999999999</v>
      </c>
      <c r="Y12" s="54">
        <v>67.706999999999994</v>
      </c>
      <c r="Z12" s="54">
        <v>67.305999999999997</v>
      </c>
      <c r="AA12" s="54">
        <v>69.855999999999995</v>
      </c>
      <c r="AB12" s="54">
        <v>66.542000000000002</v>
      </c>
      <c r="AC12" s="54">
        <v>59.081000000000003</v>
      </c>
      <c r="AD12" s="136">
        <v>65.486999999999995</v>
      </c>
      <c r="AE12" s="136">
        <v>60.901000000000003</v>
      </c>
      <c r="AF12" s="200">
        <v>58.045999999999999</v>
      </c>
      <c r="AG12" s="127">
        <v>57.037999999999997</v>
      </c>
      <c r="AH12" s="134">
        <f t="shared" si="2"/>
        <v>0.98263446232298512</v>
      </c>
      <c r="AI12" s="67"/>
      <c r="AJ12" s="67"/>
      <c r="AK12" s="67"/>
      <c r="AM12" s="67"/>
    </row>
    <row r="13" spans="1:41" s="70" customFormat="1" ht="14.25" customHeight="1" x14ac:dyDescent="0.2">
      <c r="A13" s="114" t="s">
        <v>31</v>
      </c>
      <c r="B13" s="15"/>
      <c r="C13" s="45">
        <f t="shared" ref="C13:AG13" si="6">SUM(C11:C12)</f>
        <v>208.23</v>
      </c>
      <c r="D13" s="45">
        <f t="shared" si="6"/>
        <v>216.70000000000002</v>
      </c>
      <c r="E13" s="45">
        <f t="shared" si="6"/>
        <v>223.1</v>
      </c>
      <c r="F13" s="46">
        <f t="shared" si="6"/>
        <v>229.2</v>
      </c>
      <c r="G13" s="45">
        <f t="shared" si="6"/>
        <v>246.47000000000003</v>
      </c>
      <c r="H13" s="46">
        <f t="shared" si="6"/>
        <v>257.63</v>
      </c>
      <c r="I13" s="46">
        <f t="shared" si="6"/>
        <v>271.25700000000001</v>
      </c>
      <c r="J13" s="46">
        <f t="shared" si="6"/>
        <v>264.64400000000001</v>
      </c>
      <c r="K13" s="46">
        <f t="shared" si="6"/>
        <v>268</v>
      </c>
      <c r="L13" s="46">
        <f t="shared" si="6"/>
        <v>268.49400000000003</v>
      </c>
      <c r="M13" s="46">
        <f t="shared" si="6"/>
        <v>282.60199999999998</v>
      </c>
      <c r="N13" s="46">
        <f t="shared" si="6"/>
        <v>272.46300000000002</v>
      </c>
      <c r="O13" s="46">
        <f t="shared" si="6"/>
        <v>272.32399999999996</v>
      </c>
      <c r="P13" s="46">
        <f t="shared" si="6"/>
        <v>282.13400000000001</v>
      </c>
      <c r="Q13" s="46">
        <f t="shared" si="6"/>
        <v>288.40800000000002</v>
      </c>
      <c r="R13" s="46">
        <f t="shared" si="6"/>
        <v>275.19199999999995</v>
      </c>
      <c r="S13" s="47">
        <f t="shared" si="6"/>
        <v>295.11500000000001</v>
      </c>
      <c r="T13" s="47">
        <f t="shared" si="6"/>
        <v>302.68299999999999</v>
      </c>
      <c r="U13" s="47">
        <f t="shared" si="6"/>
        <v>311.86799999999999</v>
      </c>
      <c r="V13" s="46">
        <f t="shared" si="6"/>
        <v>322.75900000000001</v>
      </c>
      <c r="W13" s="46">
        <f t="shared" si="6"/>
        <v>334.19100000000003</v>
      </c>
      <c r="X13" s="46">
        <f t="shared" si="6"/>
        <v>343.34100000000001</v>
      </c>
      <c r="Y13" s="46">
        <f t="shared" si="6"/>
        <v>340.613</v>
      </c>
      <c r="Z13" s="46">
        <f t="shared" si="6"/>
        <v>337.62200000000001</v>
      </c>
      <c r="AA13" s="46">
        <f t="shared" si="6"/>
        <v>347.83799999999997</v>
      </c>
      <c r="AB13" s="46">
        <f t="shared" si="6"/>
        <v>337.80500000000006</v>
      </c>
      <c r="AC13" s="46">
        <f t="shared" si="6"/>
        <v>313.839</v>
      </c>
      <c r="AD13" s="46">
        <f t="shared" si="6"/>
        <v>325.08500000000004</v>
      </c>
      <c r="AE13" s="46">
        <f t="shared" si="6"/>
        <v>311.762</v>
      </c>
      <c r="AF13" s="46">
        <f t="shared" si="6"/>
        <v>301.81700000000001</v>
      </c>
      <c r="AG13" s="46">
        <f t="shared" si="6"/>
        <v>291.78000000000003</v>
      </c>
      <c r="AH13" s="133">
        <f t="shared" si="2"/>
        <v>0.96674474930172927</v>
      </c>
      <c r="AI13" s="69"/>
      <c r="AJ13" s="69"/>
      <c r="AK13" s="69"/>
      <c r="AL13" s="69"/>
      <c r="AM13" s="69"/>
    </row>
    <row r="14" spans="1:41" s="68" customFormat="1" ht="14.25" customHeight="1" x14ac:dyDescent="0.2">
      <c r="A14" s="113" t="s">
        <v>37</v>
      </c>
      <c r="B14" s="49">
        <v>29.597999999999999</v>
      </c>
      <c r="C14" s="50">
        <v>38.799999999999997</v>
      </c>
      <c r="D14" s="51">
        <v>43.7</v>
      </c>
      <c r="E14" s="51">
        <v>41.1</v>
      </c>
      <c r="F14" s="55">
        <v>47</v>
      </c>
      <c r="G14" s="51">
        <v>49.34</v>
      </c>
      <c r="H14" s="51">
        <v>53.76</v>
      </c>
      <c r="I14" s="51">
        <v>55.978000000000002</v>
      </c>
      <c r="J14" s="51"/>
      <c r="K14" s="51">
        <v>55.49</v>
      </c>
      <c r="L14" s="51">
        <v>57.811</v>
      </c>
      <c r="M14" s="51">
        <v>59.133000000000003</v>
      </c>
      <c r="N14" s="55">
        <v>55.914999999999999</v>
      </c>
      <c r="O14" s="51">
        <v>55.790999999999997</v>
      </c>
      <c r="P14" s="51">
        <v>57.581000000000003</v>
      </c>
      <c r="Q14" s="51">
        <v>56.302</v>
      </c>
      <c r="R14" s="51">
        <v>55.241999999999997</v>
      </c>
      <c r="S14" s="51">
        <v>58.482999999999997</v>
      </c>
      <c r="T14" s="51">
        <v>60.945999999999998</v>
      </c>
      <c r="U14" s="51">
        <v>62.167000000000002</v>
      </c>
      <c r="V14" s="51">
        <v>63.783000000000001</v>
      </c>
      <c r="W14" s="51">
        <v>64.980999999999995</v>
      </c>
      <c r="X14" s="51">
        <v>67.81</v>
      </c>
      <c r="Y14" s="51">
        <v>68.27</v>
      </c>
      <c r="Z14" s="51">
        <v>66.513000000000005</v>
      </c>
      <c r="AA14" s="51">
        <v>68.087000000000003</v>
      </c>
      <c r="AB14" s="51">
        <v>68.256</v>
      </c>
      <c r="AC14" s="51">
        <v>62.319000000000003</v>
      </c>
      <c r="AD14" s="50">
        <v>64.698999999999998</v>
      </c>
      <c r="AE14" s="50">
        <v>60.938000000000002</v>
      </c>
      <c r="AF14" s="198">
        <v>57.598999999999997</v>
      </c>
      <c r="AG14" s="127">
        <v>53.701000000000001</v>
      </c>
      <c r="AH14" s="134">
        <f t="shared" si="2"/>
        <v>0.93232521397940937</v>
      </c>
      <c r="AI14" s="67"/>
      <c r="AJ14" s="67"/>
      <c r="AK14" s="67"/>
      <c r="AL14" s="67"/>
      <c r="AM14" s="67"/>
    </row>
    <row r="15" spans="1:41" s="70" customFormat="1" ht="14.25" customHeight="1" x14ac:dyDescent="0.2">
      <c r="A15" s="114" t="s">
        <v>31</v>
      </c>
      <c r="B15" s="15"/>
      <c r="C15" s="45">
        <f t="shared" ref="C15:I15" si="7">SUM(C13:C14)</f>
        <v>247.02999999999997</v>
      </c>
      <c r="D15" s="45">
        <f t="shared" si="7"/>
        <v>260.40000000000003</v>
      </c>
      <c r="E15" s="45">
        <f t="shared" si="7"/>
        <v>264.2</v>
      </c>
      <c r="F15" s="46">
        <f t="shared" si="7"/>
        <v>276.2</v>
      </c>
      <c r="G15" s="46">
        <f t="shared" si="7"/>
        <v>295.81000000000006</v>
      </c>
      <c r="H15" s="46">
        <f t="shared" si="7"/>
        <v>311.39</v>
      </c>
      <c r="I15" s="46">
        <f t="shared" si="7"/>
        <v>327.23500000000001</v>
      </c>
      <c r="J15" s="46"/>
      <c r="K15" s="46">
        <f t="shared" ref="K15:AG15" si="8">SUM(K13:K14)</f>
        <v>323.49</v>
      </c>
      <c r="L15" s="46">
        <f t="shared" si="8"/>
        <v>326.30500000000001</v>
      </c>
      <c r="M15" s="46">
        <f t="shared" si="8"/>
        <v>341.73499999999996</v>
      </c>
      <c r="N15" s="46">
        <f t="shared" si="8"/>
        <v>328.37800000000004</v>
      </c>
      <c r="O15" s="46">
        <f t="shared" si="8"/>
        <v>328.11499999999995</v>
      </c>
      <c r="P15" s="46">
        <f t="shared" si="8"/>
        <v>339.71500000000003</v>
      </c>
      <c r="Q15" s="46">
        <f t="shared" si="8"/>
        <v>344.71000000000004</v>
      </c>
      <c r="R15" s="46">
        <f t="shared" si="8"/>
        <v>330.43399999999997</v>
      </c>
      <c r="S15" s="47">
        <f t="shared" si="8"/>
        <v>353.59800000000001</v>
      </c>
      <c r="T15" s="47">
        <f t="shared" si="8"/>
        <v>363.62900000000002</v>
      </c>
      <c r="U15" s="47">
        <f t="shared" si="8"/>
        <v>374.03499999999997</v>
      </c>
      <c r="V15" s="46">
        <f t="shared" si="8"/>
        <v>386.54200000000003</v>
      </c>
      <c r="W15" s="46">
        <f t="shared" si="8"/>
        <v>399.17200000000003</v>
      </c>
      <c r="X15" s="46">
        <f t="shared" si="8"/>
        <v>411.15100000000001</v>
      </c>
      <c r="Y15" s="46">
        <f t="shared" si="8"/>
        <v>408.88299999999998</v>
      </c>
      <c r="Z15" s="46">
        <f t="shared" si="8"/>
        <v>404.13499999999999</v>
      </c>
      <c r="AA15" s="46">
        <f t="shared" si="8"/>
        <v>415.92499999999995</v>
      </c>
      <c r="AB15" s="46">
        <f t="shared" si="8"/>
        <v>406.06100000000004</v>
      </c>
      <c r="AC15" s="46">
        <f t="shared" si="8"/>
        <v>376.15800000000002</v>
      </c>
      <c r="AD15" s="46">
        <f t="shared" si="8"/>
        <v>389.78400000000005</v>
      </c>
      <c r="AE15" s="46">
        <f t="shared" si="8"/>
        <v>372.7</v>
      </c>
      <c r="AF15" s="46">
        <f t="shared" si="8"/>
        <v>359.416</v>
      </c>
      <c r="AG15" s="46">
        <f t="shared" si="8"/>
        <v>345.48100000000005</v>
      </c>
      <c r="AH15" s="133">
        <f t="shared" si="2"/>
        <v>0.96122877111759086</v>
      </c>
      <c r="AI15" s="69"/>
      <c r="AJ15" s="69"/>
      <c r="AK15" s="69"/>
      <c r="AL15" s="69"/>
      <c r="AM15" s="69"/>
    </row>
    <row r="16" spans="1:41" s="68" customFormat="1" ht="14.25" customHeight="1" x14ac:dyDescent="0.2">
      <c r="A16" s="113" t="s">
        <v>36</v>
      </c>
      <c r="B16" s="49">
        <v>30.734999999999999</v>
      </c>
      <c r="C16" s="50">
        <v>42.5</v>
      </c>
      <c r="D16" s="51">
        <v>42</v>
      </c>
      <c r="E16" s="51">
        <v>43.6</v>
      </c>
      <c r="F16" s="51">
        <v>50.8</v>
      </c>
      <c r="G16" s="55">
        <v>49.94</v>
      </c>
      <c r="H16" s="51">
        <v>50.78</v>
      </c>
      <c r="I16" s="51">
        <v>53.371000000000002</v>
      </c>
      <c r="J16" s="51"/>
      <c r="K16" s="51">
        <v>50.97</v>
      </c>
      <c r="L16" s="51">
        <v>52.707999999999998</v>
      </c>
      <c r="M16" s="51">
        <v>55.423999999999999</v>
      </c>
      <c r="N16" s="55">
        <v>50.494</v>
      </c>
      <c r="O16" s="51">
        <v>52.13</v>
      </c>
      <c r="P16" s="51">
        <v>52.883000000000003</v>
      </c>
      <c r="Q16" s="51">
        <v>53.109000000000002</v>
      </c>
      <c r="R16" s="51">
        <v>52.075000000000003</v>
      </c>
      <c r="S16" s="51">
        <v>54.805999999999997</v>
      </c>
      <c r="T16" s="51">
        <v>54.874000000000002</v>
      </c>
      <c r="U16" s="51">
        <v>59.311</v>
      </c>
      <c r="V16" s="51">
        <v>60.091999999999999</v>
      </c>
      <c r="W16" s="51">
        <v>61.62</v>
      </c>
      <c r="X16" s="51">
        <v>62.953000000000003</v>
      </c>
      <c r="Y16" s="51">
        <v>63.716000000000001</v>
      </c>
      <c r="Z16" s="51">
        <v>64.453999999999994</v>
      </c>
      <c r="AA16" s="51">
        <v>64.504999999999995</v>
      </c>
      <c r="AB16" s="51">
        <v>64.227000000000004</v>
      </c>
      <c r="AC16" s="51">
        <v>60.023000000000003</v>
      </c>
      <c r="AD16" s="50">
        <v>60.863</v>
      </c>
      <c r="AE16" s="50">
        <v>56.454000000000001</v>
      </c>
      <c r="AF16" s="50">
        <v>53.052</v>
      </c>
      <c r="AG16" s="127"/>
      <c r="AH16" s="134">
        <f t="shared" si="2"/>
        <v>0</v>
      </c>
      <c r="AI16" s="67"/>
      <c r="AJ16" s="67"/>
      <c r="AK16" s="67"/>
      <c r="AL16" s="67"/>
      <c r="AM16" s="67"/>
    </row>
    <row r="17" spans="1:41" s="70" customFormat="1" ht="14.25" customHeight="1" x14ac:dyDescent="0.2">
      <c r="A17" s="114" t="s">
        <v>31</v>
      </c>
      <c r="B17" s="15"/>
      <c r="C17" s="45">
        <f>SUM(C15:C16)</f>
        <v>289.52999999999997</v>
      </c>
      <c r="D17" s="45">
        <f>SUM(D15:D16)</f>
        <v>302.40000000000003</v>
      </c>
      <c r="E17" s="45">
        <f>SUM(E15:E16)</f>
        <v>307.8</v>
      </c>
      <c r="F17" s="46">
        <f>0+(SUM(F15:F16))</f>
        <v>327</v>
      </c>
      <c r="G17" s="46">
        <f>SUM(G15:G16)</f>
        <v>345.75000000000006</v>
      </c>
      <c r="H17" s="46">
        <f>SUM(H15:H16)</f>
        <v>362.16999999999996</v>
      </c>
      <c r="I17" s="46">
        <f>SUM(I15:I16)</f>
        <v>380.60599999999999</v>
      </c>
      <c r="J17" s="46"/>
      <c r="K17" s="46">
        <f t="shared" ref="K17:AF17" si="9">SUM(K15:K16)</f>
        <v>374.46000000000004</v>
      </c>
      <c r="L17" s="46">
        <f t="shared" si="9"/>
        <v>379.01300000000003</v>
      </c>
      <c r="M17" s="46">
        <f t="shared" si="9"/>
        <v>397.15899999999993</v>
      </c>
      <c r="N17" s="46">
        <f t="shared" si="9"/>
        <v>378.87200000000007</v>
      </c>
      <c r="O17" s="46">
        <f t="shared" si="9"/>
        <v>380.24499999999995</v>
      </c>
      <c r="P17" s="46">
        <f t="shared" si="9"/>
        <v>392.59800000000001</v>
      </c>
      <c r="Q17" s="46">
        <f t="shared" si="9"/>
        <v>397.81900000000002</v>
      </c>
      <c r="R17" s="46">
        <f t="shared" si="9"/>
        <v>382.50899999999996</v>
      </c>
      <c r="S17" s="46">
        <f t="shared" si="9"/>
        <v>408.404</v>
      </c>
      <c r="T17" s="46">
        <f t="shared" si="9"/>
        <v>418.50300000000004</v>
      </c>
      <c r="U17" s="47">
        <f t="shared" si="9"/>
        <v>433.34599999999995</v>
      </c>
      <c r="V17" s="46">
        <f t="shared" si="9"/>
        <v>446.63400000000001</v>
      </c>
      <c r="W17" s="46">
        <f t="shared" si="9"/>
        <v>460.79200000000003</v>
      </c>
      <c r="X17" s="46">
        <f t="shared" si="9"/>
        <v>474.10400000000004</v>
      </c>
      <c r="Y17" s="46">
        <f t="shared" si="9"/>
        <v>472.59899999999999</v>
      </c>
      <c r="Z17" s="46">
        <f t="shared" si="9"/>
        <v>468.589</v>
      </c>
      <c r="AA17" s="46">
        <f t="shared" si="9"/>
        <v>480.42999999999995</v>
      </c>
      <c r="AB17" s="46">
        <f t="shared" si="9"/>
        <v>470.28800000000001</v>
      </c>
      <c r="AC17" s="46">
        <f t="shared" si="9"/>
        <v>436.18100000000004</v>
      </c>
      <c r="AD17" s="46">
        <f t="shared" si="9"/>
        <v>450.64700000000005</v>
      </c>
      <c r="AE17" s="46">
        <f t="shared" si="9"/>
        <v>429.154</v>
      </c>
      <c r="AF17" s="46">
        <f t="shared" si="9"/>
        <v>412.46800000000002</v>
      </c>
      <c r="AG17" s="97"/>
      <c r="AH17" s="133">
        <f t="shared" si="2"/>
        <v>0</v>
      </c>
      <c r="AI17" s="69"/>
      <c r="AJ17" s="69"/>
      <c r="AK17" s="69"/>
      <c r="AL17" s="69"/>
      <c r="AM17" s="69"/>
      <c r="AN17" s="69"/>
      <c r="AO17" s="69"/>
    </row>
    <row r="18" spans="1:41" s="68" customFormat="1" ht="14.25" customHeight="1" x14ac:dyDescent="0.2">
      <c r="A18" s="113" t="s">
        <v>35</v>
      </c>
      <c r="B18" s="57">
        <v>30.13</v>
      </c>
      <c r="C18" s="50">
        <v>40.5</v>
      </c>
      <c r="D18" s="51">
        <v>42.5</v>
      </c>
      <c r="E18" s="51">
        <v>40.700000000000003</v>
      </c>
      <c r="F18" s="55">
        <v>45</v>
      </c>
      <c r="G18" s="51">
        <v>47.19</v>
      </c>
      <c r="H18" s="51">
        <v>50.02</v>
      </c>
      <c r="I18" s="51">
        <v>51.975999999999999</v>
      </c>
      <c r="J18" s="51"/>
      <c r="K18" s="51">
        <v>50.454999999999998</v>
      </c>
      <c r="L18" s="51">
        <v>52.713000000000001</v>
      </c>
      <c r="M18" s="51">
        <v>53.734000000000002</v>
      </c>
      <c r="N18" s="55">
        <v>51.832999999999998</v>
      </c>
      <c r="O18" s="51">
        <v>52.488</v>
      </c>
      <c r="P18" s="51">
        <v>53.646000000000001</v>
      </c>
      <c r="Q18" s="51">
        <v>51.633000000000003</v>
      </c>
      <c r="R18" s="51">
        <v>51.642000000000003</v>
      </c>
      <c r="S18" s="51">
        <v>55.344999999999999</v>
      </c>
      <c r="T18" s="51">
        <v>56.905999999999999</v>
      </c>
      <c r="U18" s="51">
        <v>60.442</v>
      </c>
      <c r="V18" s="51">
        <v>61.262999999999998</v>
      </c>
      <c r="W18" s="51">
        <v>62.064</v>
      </c>
      <c r="X18" s="51">
        <v>64.197000000000003</v>
      </c>
      <c r="Y18" s="51">
        <v>64.911000000000001</v>
      </c>
      <c r="Z18" s="51">
        <v>65.997</v>
      </c>
      <c r="AA18" s="51">
        <v>65.037999999999997</v>
      </c>
      <c r="AB18" s="51">
        <v>66.290000000000006</v>
      </c>
      <c r="AC18" s="51">
        <v>60.527999999999999</v>
      </c>
      <c r="AD18" s="50">
        <v>61.024000000000001</v>
      </c>
      <c r="AE18" s="50">
        <v>56.65</v>
      </c>
      <c r="AF18" s="50">
        <v>55.12</v>
      </c>
      <c r="AG18" s="127"/>
      <c r="AH18" s="134">
        <f t="shared" si="2"/>
        <v>0</v>
      </c>
      <c r="AI18" s="67"/>
      <c r="AJ18" s="67"/>
      <c r="AK18" s="67"/>
      <c r="AL18" s="67"/>
      <c r="AM18" s="67"/>
      <c r="AN18" s="67"/>
      <c r="AO18" s="67"/>
    </row>
    <row r="19" spans="1:41" s="70" customFormat="1" ht="14.25" customHeight="1" x14ac:dyDescent="0.2">
      <c r="A19" s="114" t="s">
        <v>31</v>
      </c>
      <c r="B19" s="12">
        <f>SUM(B17:B18)</f>
        <v>30.13</v>
      </c>
      <c r="C19" s="45">
        <f>SUM(C17:C18)</f>
        <v>330.03</v>
      </c>
      <c r="D19" s="45">
        <f>SUM(D17:D18)</f>
        <v>344.90000000000003</v>
      </c>
      <c r="E19" s="45">
        <f>SUM(E17:E18)</f>
        <v>348.5</v>
      </c>
      <c r="F19" s="46">
        <f>0+(SUM(F17:F18))</f>
        <v>372</v>
      </c>
      <c r="G19" s="46">
        <f>SUM(G17:G18)</f>
        <v>392.94000000000005</v>
      </c>
      <c r="H19" s="46">
        <f>SUM(H17:H18)</f>
        <v>412.18999999999994</v>
      </c>
      <c r="I19" s="46">
        <f>SUM(I17:I18)</f>
        <v>432.58199999999999</v>
      </c>
      <c r="J19" s="46"/>
      <c r="K19" s="46">
        <f t="shared" ref="K19:AF19" si="10">SUM(K17:K18)</f>
        <v>424.91500000000002</v>
      </c>
      <c r="L19" s="46">
        <f t="shared" si="10"/>
        <v>431.72600000000006</v>
      </c>
      <c r="M19" s="46">
        <f t="shared" si="10"/>
        <v>450.89299999999992</v>
      </c>
      <c r="N19" s="46">
        <f t="shared" si="10"/>
        <v>430.70500000000004</v>
      </c>
      <c r="O19" s="46">
        <f t="shared" si="10"/>
        <v>432.73299999999995</v>
      </c>
      <c r="P19" s="46">
        <f t="shared" si="10"/>
        <v>446.24400000000003</v>
      </c>
      <c r="Q19" s="46">
        <f t="shared" si="10"/>
        <v>449.452</v>
      </c>
      <c r="R19" s="46">
        <f t="shared" si="10"/>
        <v>434.15099999999995</v>
      </c>
      <c r="S19" s="46">
        <f t="shared" si="10"/>
        <v>463.74900000000002</v>
      </c>
      <c r="T19" s="46">
        <f t="shared" si="10"/>
        <v>475.40900000000005</v>
      </c>
      <c r="U19" s="47">
        <f t="shared" si="10"/>
        <v>493.78799999999995</v>
      </c>
      <c r="V19" s="46">
        <f t="shared" si="10"/>
        <v>507.89699999999999</v>
      </c>
      <c r="W19" s="46">
        <f t="shared" si="10"/>
        <v>522.85599999999999</v>
      </c>
      <c r="X19" s="46">
        <f t="shared" si="10"/>
        <v>538.30100000000004</v>
      </c>
      <c r="Y19" s="46">
        <f t="shared" si="10"/>
        <v>537.51</v>
      </c>
      <c r="Z19" s="46">
        <f t="shared" si="10"/>
        <v>534.58600000000001</v>
      </c>
      <c r="AA19" s="46">
        <f t="shared" si="10"/>
        <v>545.46799999999996</v>
      </c>
      <c r="AB19" s="46">
        <f t="shared" si="10"/>
        <v>536.57799999999997</v>
      </c>
      <c r="AC19" s="46">
        <f t="shared" si="10"/>
        <v>496.70900000000006</v>
      </c>
      <c r="AD19" s="46">
        <f t="shared" si="10"/>
        <v>511.67100000000005</v>
      </c>
      <c r="AE19" s="46">
        <f t="shared" si="10"/>
        <v>485.80399999999997</v>
      </c>
      <c r="AF19" s="46">
        <f t="shared" si="10"/>
        <v>467.58800000000002</v>
      </c>
      <c r="AG19" s="97"/>
      <c r="AH19" s="133">
        <f t="shared" si="2"/>
        <v>0</v>
      </c>
      <c r="AI19" s="69"/>
      <c r="AJ19" s="69"/>
      <c r="AK19" s="69"/>
      <c r="AL19" s="69"/>
      <c r="AM19" s="69"/>
      <c r="AN19" s="69"/>
      <c r="AO19" s="69"/>
    </row>
    <row r="20" spans="1:41" s="68" customFormat="1" ht="14.25" customHeight="1" x14ac:dyDescent="0.2">
      <c r="A20" s="113" t="s">
        <v>34</v>
      </c>
      <c r="B20" s="57">
        <v>28.919</v>
      </c>
      <c r="C20" s="50">
        <v>37.97</v>
      </c>
      <c r="D20" s="51">
        <v>39.5</v>
      </c>
      <c r="E20" s="51">
        <v>41.5</v>
      </c>
      <c r="F20" s="55">
        <v>47.2</v>
      </c>
      <c r="G20" s="51">
        <v>47.627000000000002</v>
      </c>
      <c r="H20" s="51">
        <v>52.02</v>
      </c>
      <c r="I20" s="51">
        <v>53.9</v>
      </c>
      <c r="J20" s="51">
        <v>52.575000000000003</v>
      </c>
      <c r="K20" s="51">
        <v>50.908000000000001</v>
      </c>
      <c r="L20" s="51">
        <v>54.765999999999998</v>
      </c>
      <c r="M20" s="51">
        <v>56.008000000000003</v>
      </c>
      <c r="N20" s="55">
        <v>52.587000000000003</v>
      </c>
      <c r="O20" s="51">
        <v>54.046999999999997</v>
      </c>
      <c r="P20" s="51">
        <v>55.036000000000001</v>
      </c>
      <c r="Q20" s="51">
        <v>55.75</v>
      </c>
      <c r="R20" s="51">
        <v>53.377000000000002</v>
      </c>
      <c r="S20" s="51">
        <v>57.447000000000003</v>
      </c>
      <c r="T20" s="51">
        <v>59.554000000000002</v>
      </c>
      <c r="U20" s="51">
        <v>63.249000000000002</v>
      </c>
      <c r="V20" s="51">
        <v>64.462999999999994</v>
      </c>
      <c r="W20" s="51">
        <v>66.158000000000001</v>
      </c>
      <c r="X20" s="51">
        <v>65.853999999999999</v>
      </c>
      <c r="Y20" s="51">
        <v>66.477999999999994</v>
      </c>
      <c r="Z20" s="51">
        <v>65.948999999999998</v>
      </c>
      <c r="AA20" s="51">
        <v>66.122</v>
      </c>
      <c r="AB20" s="51">
        <v>67.352000000000004</v>
      </c>
      <c r="AC20" s="51">
        <v>61.363</v>
      </c>
      <c r="AD20" s="50">
        <v>61.768999999999998</v>
      </c>
      <c r="AE20" s="50">
        <v>58.139000000000003</v>
      </c>
      <c r="AF20" s="50">
        <v>55.456000000000003</v>
      </c>
      <c r="AG20" s="127"/>
      <c r="AH20" s="134">
        <f t="shared" si="2"/>
        <v>0</v>
      </c>
      <c r="AI20" s="67"/>
      <c r="AJ20" s="67"/>
      <c r="AK20" s="67"/>
      <c r="AL20" s="67"/>
      <c r="AM20" s="67"/>
      <c r="AN20" s="67"/>
      <c r="AO20" s="67"/>
    </row>
    <row r="21" spans="1:41" s="70" customFormat="1" ht="14.25" customHeight="1" x14ac:dyDescent="0.2">
      <c r="A21" s="114" t="s">
        <v>31</v>
      </c>
      <c r="B21" s="12">
        <f t="shared" ref="B21:I21" si="11">SUM(B19:B20)</f>
        <v>59.048999999999999</v>
      </c>
      <c r="C21" s="45">
        <f t="shared" si="11"/>
        <v>368</v>
      </c>
      <c r="D21" s="45">
        <f t="shared" si="11"/>
        <v>384.40000000000003</v>
      </c>
      <c r="E21" s="45">
        <f t="shared" si="11"/>
        <v>390</v>
      </c>
      <c r="F21" s="46">
        <f t="shared" si="11"/>
        <v>419.2</v>
      </c>
      <c r="G21" s="46">
        <f t="shared" si="11"/>
        <v>440.56700000000006</v>
      </c>
      <c r="H21" s="46">
        <f t="shared" si="11"/>
        <v>464.20999999999992</v>
      </c>
      <c r="I21" s="46">
        <f t="shared" si="11"/>
        <v>486.48199999999997</v>
      </c>
      <c r="J21" s="46"/>
      <c r="K21" s="46">
        <f t="shared" ref="K21:AF21" si="12">SUM(K19:K20)</f>
        <v>475.82300000000004</v>
      </c>
      <c r="L21" s="46">
        <f t="shared" si="12"/>
        <v>486.49200000000008</v>
      </c>
      <c r="M21" s="46">
        <f t="shared" si="12"/>
        <v>506.9009999999999</v>
      </c>
      <c r="N21" s="46">
        <f t="shared" si="12"/>
        <v>483.29200000000003</v>
      </c>
      <c r="O21" s="46">
        <f t="shared" si="12"/>
        <v>486.78</v>
      </c>
      <c r="P21" s="46">
        <f t="shared" si="12"/>
        <v>501.28000000000003</v>
      </c>
      <c r="Q21" s="46">
        <f t="shared" si="12"/>
        <v>505.202</v>
      </c>
      <c r="R21" s="46">
        <f t="shared" si="12"/>
        <v>487.52799999999996</v>
      </c>
      <c r="S21" s="46">
        <f t="shared" si="12"/>
        <v>521.19600000000003</v>
      </c>
      <c r="T21" s="46">
        <f t="shared" si="12"/>
        <v>534.96300000000008</v>
      </c>
      <c r="U21" s="47">
        <f t="shared" si="12"/>
        <v>557.03699999999992</v>
      </c>
      <c r="V21" s="46">
        <f t="shared" si="12"/>
        <v>572.36</v>
      </c>
      <c r="W21" s="46">
        <f t="shared" si="12"/>
        <v>589.01400000000001</v>
      </c>
      <c r="X21" s="46">
        <f t="shared" si="12"/>
        <v>604.15500000000009</v>
      </c>
      <c r="Y21" s="46">
        <f t="shared" si="12"/>
        <v>603.98799999999994</v>
      </c>
      <c r="Z21" s="46">
        <f t="shared" si="12"/>
        <v>600.53499999999997</v>
      </c>
      <c r="AA21" s="46">
        <f t="shared" si="12"/>
        <v>611.58999999999992</v>
      </c>
      <c r="AB21" s="46">
        <f t="shared" si="12"/>
        <v>603.92999999999995</v>
      </c>
      <c r="AC21" s="46">
        <f t="shared" si="12"/>
        <v>558.07200000000012</v>
      </c>
      <c r="AD21" s="46">
        <f t="shared" si="12"/>
        <v>573.44000000000005</v>
      </c>
      <c r="AE21" s="46">
        <f t="shared" si="12"/>
        <v>543.94299999999998</v>
      </c>
      <c r="AF21" s="46">
        <f t="shared" si="12"/>
        <v>523.04399999999998</v>
      </c>
      <c r="AG21" s="97"/>
      <c r="AH21" s="133">
        <f t="shared" si="2"/>
        <v>0</v>
      </c>
      <c r="AI21" s="69"/>
      <c r="AJ21" s="69"/>
      <c r="AK21" s="69"/>
      <c r="AL21" s="69"/>
      <c r="AM21" s="69"/>
      <c r="AN21" s="69"/>
      <c r="AO21" s="69"/>
    </row>
    <row r="22" spans="1:41" s="68" customFormat="1" ht="14.25" customHeight="1" x14ac:dyDescent="0.2">
      <c r="A22" s="113" t="s">
        <v>33</v>
      </c>
      <c r="B22" s="57">
        <v>31.588000000000001</v>
      </c>
      <c r="C22" s="50">
        <v>40.1</v>
      </c>
      <c r="D22" s="51">
        <v>42.1</v>
      </c>
      <c r="E22" s="51">
        <v>44</v>
      </c>
      <c r="F22" s="55">
        <v>48</v>
      </c>
      <c r="G22" s="51">
        <v>49.86</v>
      </c>
      <c r="H22" s="51">
        <v>51.68</v>
      </c>
      <c r="I22" s="51">
        <v>52.975000000000001</v>
      </c>
      <c r="J22" s="51">
        <v>51.561999999999998</v>
      </c>
      <c r="K22" s="51">
        <v>52.948</v>
      </c>
      <c r="L22" s="51">
        <v>55.116</v>
      </c>
      <c r="M22" s="51">
        <v>54.662999999999997</v>
      </c>
      <c r="N22" s="55">
        <v>52.188000000000002</v>
      </c>
      <c r="O22" s="51">
        <v>53.704999999999998</v>
      </c>
      <c r="P22" s="51">
        <v>52.808</v>
      </c>
      <c r="Q22" s="51">
        <v>54.255000000000003</v>
      </c>
      <c r="R22" s="51">
        <v>53.973999999999997</v>
      </c>
      <c r="S22" s="51">
        <v>57.564</v>
      </c>
      <c r="T22" s="51">
        <v>59.194000000000003</v>
      </c>
      <c r="U22" s="51">
        <v>61.188000000000002</v>
      </c>
      <c r="V22" s="51">
        <v>63.392000000000003</v>
      </c>
      <c r="W22" s="51">
        <v>66.744</v>
      </c>
      <c r="X22" s="51">
        <v>66.876000000000005</v>
      </c>
      <c r="Y22" s="51">
        <v>65.527000000000001</v>
      </c>
      <c r="Z22" s="51">
        <v>66.48</v>
      </c>
      <c r="AA22" s="51">
        <v>66.176000000000002</v>
      </c>
      <c r="AB22" s="51">
        <v>66.144999999999996</v>
      </c>
      <c r="AC22" s="51">
        <v>62.365000000000002</v>
      </c>
      <c r="AD22" s="50">
        <v>61.633000000000003</v>
      </c>
      <c r="AE22" s="50">
        <v>59.838999999999999</v>
      </c>
      <c r="AF22" s="50">
        <v>56.573</v>
      </c>
      <c r="AG22" s="127"/>
      <c r="AH22" s="134">
        <f t="shared" si="2"/>
        <v>0</v>
      </c>
      <c r="AI22" s="67"/>
      <c r="AJ22" s="67"/>
      <c r="AK22" s="67"/>
      <c r="AL22" s="67"/>
      <c r="AM22" s="67"/>
      <c r="AN22" s="67"/>
      <c r="AO22" s="67"/>
    </row>
    <row r="23" spans="1:41" s="70" customFormat="1" ht="14.25" customHeight="1" x14ac:dyDescent="0.2">
      <c r="A23" s="114" t="s">
        <v>31</v>
      </c>
      <c r="B23" s="12">
        <f t="shared" ref="B23:I23" si="13">SUM(B21:B22)</f>
        <v>90.637</v>
      </c>
      <c r="C23" s="45">
        <f t="shared" si="13"/>
        <v>408.1</v>
      </c>
      <c r="D23" s="45">
        <f t="shared" si="13"/>
        <v>426.50000000000006</v>
      </c>
      <c r="E23" s="45">
        <f t="shared" si="13"/>
        <v>434</v>
      </c>
      <c r="F23" s="46">
        <f t="shared" si="13"/>
        <v>467.2</v>
      </c>
      <c r="G23" s="46">
        <f t="shared" si="13"/>
        <v>490.42700000000008</v>
      </c>
      <c r="H23" s="46">
        <f t="shared" si="13"/>
        <v>515.88999999999987</v>
      </c>
      <c r="I23" s="46">
        <f t="shared" si="13"/>
        <v>539.45699999999999</v>
      </c>
      <c r="J23" s="46"/>
      <c r="K23" s="46">
        <f t="shared" ref="K23:AF23" si="14">SUM(K21:K22)</f>
        <v>528.77100000000007</v>
      </c>
      <c r="L23" s="46">
        <f t="shared" si="14"/>
        <v>541.60800000000006</v>
      </c>
      <c r="M23" s="46">
        <f t="shared" si="14"/>
        <v>561.56399999999985</v>
      </c>
      <c r="N23" s="46">
        <f t="shared" si="14"/>
        <v>535.48</v>
      </c>
      <c r="O23" s="46">
        <f t="shared" si="14"/>
        <v>540.48500000000001</v>
      </c>
      <c r="P23" s="46">
        <f t="shared" si="14"/>
        <v>554.08800000000008</v>
      </c>
      <c r="Q23" s="46">
        <f t="shared" si="14"/>
        <v>559.45699999999999</v>
      </c>
      <c r="R23" s="46">
        <f t="shared" si="14"/>
        <v>541.50199999999995</v>
      </c>
      <c r="S23" s="46">
        <f t="shared" si="14"/>
        <v>578.76</v>
      </c>
      <c r="T23" s="46">
        <f t="shared" si="14"/>
        <v>594.15700000000004</v>
      </c>
      <c r="U23" s="47">
        <f t="shared" si="14"/>
        <v>618.22499999999991</v>
      </c>
      <c r="V23" s="46">
        <f t="shared" si="14"/>
        <v>635.75200000000007</v>
      </c>
      <c r="W23" s="46">
        <f t="shared" si="14"/>
        <v>655.75800000000004</v>
      </c>
      <c r="X23" s="46">
        <f t="shared" si="14"/>
        <v>671.03100000000006</v>
      </c>
      <c r="Y23" s="46">
        <f t="shared" si="14"/>
        <v>669.51499999999999</v>
      </c>
      <c r="Z23" s="46">
        <f t="shared" si="14"/>
        <v>667.01499999999999</v>
      </c>
      <c r="AA23" s="46">
        <f t="shared" si="14"/>
        <v>677.76599999999996</v>
      </c>
      <c r="AB23" s="46">
        <f t="shared" si="14"/>
        <v>670.07499999999993</v>
      </c>
      <c r="AC23" s="46">
        <f t="shared" si="14"/>
        <v>620.43700000000013</v>
      </c>
      <c r="AD23" s="46">
        <f t="shared" si="14"/>
        <v>635.07300000000009</v>
      </c>
      <c r="AE23" s="46">
        <f t="shared" si="14"/>
        <v>603.78199999999993</v>
      </c>
      <c r="AF23" s="46">
        <f t="shared" si="14"/>
        <v>579.61699999999996</v>
      </c>
      <c r="AG23" s="97"/>
      <c r="AH23" s="133">
        <f t="shared" si="2"/>
        <v>0</v>
      </c>
      <c r="AI23" s="69"/>
      <c r="AJ23" s="69"/>
      <c r="AK23" s="69"/>
      <c r="AL23" s="69"/>
      <c r="AM23" s="69"/>
      <c r="AN23" s="69"/>
      <c r="AO23" s="69"/>
    </row>
    <row r="24" spans="1:41" s="68" customFormat="1" ht="14.25" customHeight="1" x14ac:dyDescent="0.2">
      <c r="A24" s="113" t="s">
        <v>32</v>
      </c>
      <c r="B24" s="57">
        <v>30.951000000000001</v>
      </c>
      <c r="C24" s="50">
        <v>39.1</v>
      </c>
      <c r="D24" s="51">
        <v>41.9</v>
      </c>
      <c r="E24" s="51">
        <v>42</v>
      </c>
      <c r="F24" s="51">
        <v>46.9</v>
      </c>
      <c r="G24" s="51">
        <v>48.84</v>
      </c>
      <c r="H24" s="51">
        <v>51.283999999999999</v>
      </c>
      <c r="I24" s="51">
        <v>51.923000000000002</v>
      </c>
      <c r="J24" s="51">
        <v>49.612000000000002</v>
      </c>
      <c r="K24" s="51">
        <v>51.886000000000003</v>
      </c>
      <c r="L24" s="51">
        <v>54.902999999999999</v>
      </c>
      <c r="M24" s="51">
        <v>54.622999999999998</v>
      </c>
      <c r="N24" s="55">
        <v>52.902999999999999</v>
      </c>
      <c r="O24" s="51">
        <v>53.487000000000002</v>
      </c>
      <c r="P24" s="51">
        <v>54.747999999999998</v>
      </c>
      <c r="Q24" s="51">
        <v>53.883000000000003</v>
      </c>
      <c r="R24" s="51">
        <v>54.411999999999999</v>
      </c>
      <c r="S24" s="51">
        <v>59.253</v>
      </c>
      <c r="T24" s="51">
        <v>60.737000000000002</v>
      </c>
      <c r="U24" s="51">
        <v>61.045000000000002</v>
      </c>
      <c r="V24" s="51">
        <v>65.201999999999998</v>
      </c>
      <c r="W24" s="51">
        <v>65.328999999999994</v>
      </c>
      <c r="X24" s="51">
        <v>65.884</v>
      </c>
      <c r="Y24" s="51">
        <v>66.009</v>
      </c>
      <c r="Z24" s="51">
        <v>68.387</v>
      </c>
      <c r="AA24" s="51">
        <v>66.673000000000002</v>
      </c>
      <c r="AB24" s="51">
        <v>67.668000000000006</v>
      </c>
      <c r="AC24" s="51">
        <v>61.612000000000002</v>
      </c>
      <c r="AD24" s="50">
        <v>60.002000000000002</v>
      </c>
      <c r="AE24" s="50">
        <v>61.575000000000003</v>
      </c>
      <c r="AF24" s="50">
        <v>58.118000000000002</v>
      </c>
      <c r="AG24" s="127"/>
      <c r="AH24" s="134">
        <f t="shared" si="2"/>
        <v>0</v>
      </c>
      <c r="AI24" s="67"/>
      <c r="AJ24" s="67"/>
      <c r="AK24" s="67"/>
      <c r="AL24" s="67"/>
      <c r="AM24" s="67"/>
      <c r="AN24" s="67"/>
      <c r="AO24" s="67"/>
    </row>
    <row r="25" spans="1:41" s="70" customFormat="1" ht="14.25" customHeight="1" x14ac:dyDescent="0.2">
      <c r="A25" s="114" t="s">
        <v>31</v>
      </c>
      <c r="B25" s="12">
        <f t="shared" ref="B25:I25" si="15">SUM(B23:B24)</f>
        <v>121.58799999999999</v>
      </c>
      <c r="C25" s="45">
        <f t="shared" si="15"/>
        <v>447.20000000000005</v>
      </c>
      <c r="D25" s="45">
        <f t="shared" si="15"/>
        <v>468.40000000000003</v>
      </c>
      <c r="E25" s="45">
        <f t="shared" si="15"/>
        <v>476</v>
      </c>
      <c r="F25" s="46">
        <f t="shared" si="15"/>
        <v>514.1</v>
      </c>
      <c r="G25" s="46">
        <f t="shared" si="15"/>
        <v>539.26700000000005</v>
      </c>
      <c r="H25" s="46">
        <f t="shared" si="15"/>
        <v>567.17399999999986</v>
      </c>
      <c r="I25" s="46">
        <f t="shared" si="15"/>
        <v>591.38</v>
      </c>
      <c r="J25" s="46"/>
      <c r="K25" s="46">
        <f t="shared" ref="K25:AF25" si="16">SUM(K23:K24)</f>
        <v>580.65700000000004</v>
      </c>
      <c r="L25" s="46">
        <f t="shared" si="16"/>
        <v>596.51100000000008</v>
      </c>
      <c r="M25" s="46">
        <f t="shared" si="16"/>
        <v>616.1869999999999</v>
      </c>
      <c r="N25" s="46">
        <f t="shared" si="16"/>
        <v>588.38300000000004</v>
      </c>
      <c r="O25" s="46">
        <f t="shared" si="16"/>
        <v>593.97199999999998</v>
      </c>
      <c r="P25" s="46">
        <f t="shared" si="16"/>
        <v>608.83600000000013</v>
      </c>
      <c r="Q25" s="46">
        <f t="shared" si="16"/>
        <v>613.34</v>
      </c>
      <c r="R25" s="46">
        <f t="shared" si="16"/>
        <v>595.91399999999999</v>
      </c>
      <c r="S25" s="46">
        <f t="shared" si="16"/>
        <v>638.01300000000003</v>
      </c>
      <c r="T25" s="46">
        <f t="shared" si="16"/>
        <v>654.89400000000001</v>
      </c>
      <c r="U25" s="47">
        <f t="shared" si="16"/>
        <v>679.26999999999987</v>
      </c>
      <c r="V25" s="47">
        <f t="shared" si="16"/>
        <v>700.95400000000006</v>
      </c>
      <c r="W25" s="47">
        <f t="shared" si="16"/>
        <v>721.08699999999999</v>
      </c>
      <c r="X25" s="47">
        <f t="shared" si="16"/>
        <v>736.91500000000008</v>
      </c>
      <c r="Y25" s="47">
        <f t="shared" si="16"/>
        <v>735.524</v>
      </c>
      <c r="Z25" s="47">
        <f t="shared" si="16"/>
        <v>735.40200000000004</v>
      </c>
      <c r="AA25" s="47">
        <f t="shared" si="16"/>
        <v>744.43899999999996</v>
      </c>
      <c r="AB25" s="47">
        <f t="shared" si="16"/>
        <v>737.74299999999994</v>
      </c>
      <c r="AC25" s="47">
        <f t="shared" si="16"/>
        <v>682.04900000000009</v>
      </c>
      <c r="AD25" s="47">
        <f t="shared" si="16"/>
        <v>695.07500000000005</v>
      </c>
      <c r="AE25" s="47">
        <f t="shared" si="16"/>
        <v>665.35699999999997</v>
      </c>
      <c r="AF25" s="47">
        <f t="shared" si="16"/>
        <v>637.73500000000001</v>
      </c>
      <c r="AG25" s="107"/>
      <c r="AH25" s="133">
        <f t="shared" si="2"/>
        <v>0</v>
      </c>
      <c r="AI25" s="69"/>
      <c r="AJ25" s="69"/>
      <c r="AK25" s="69"/>
      <c r="AL25" s="69"/>
      <c r="AM25" s="69"/>
      <c r="AN25" s="69"/>
      <c r="AO25" s="69"/>
    </row>
    <row r="26" spans="1:41" s="68" customFormat="1" ht="14.25" customHeight="1" x14ac:dyDescent="0.2">
      <c r="A26" s="115" t="s">
        <v>30</v>
      </c>
      <c r="B26" s="59">
        <v>33.200000000000003</v>
      </c>
      <c r="C26" s="60">
        <v>42.7</v>
      </c>
      <c r="D26" s="61">
        <v>40.9</v>
      </c>
      <c r="E26" s="61">
        <v>43.2</v>
      </c>
      <c r="F26" s="61">
        <v>50.6</v>
      </c>
      <c r="G26" s="61">
        <v>51.5</v>
      </c>
      <c r="H26" s="61">
        <v>56.137999999999998</v>
      </c>
      <c r="I26" s="61">
        <v>57.43</v>
      </c>
      <c r="J26" s="61">
        <f>SUM(55.987+0.375)</f>
        <v>56.362000000000002</v>
      </c>
      <c r="K26" s="61">
        <v>58.222999999999999</v>
      </c>
      <c r="L26" s="61">
        <v>60.442999999999998</v>
      </c>
      <c r="M26" s="61">
        <v>59.777999999999999</v>
      </c>
      <c r="N26" s="61">
        <v>59.27</v>
      </c>
      <c r="O26" s="61">
        <v>60.323</v>
      </c>
      <c r="P26" s="61">
        <v>61.484999999999999</v>
      </c>
      <c r="Q26" s="61">
        <v>58.421999999999997</v>
      </c>
      <c r="R26" s="61">
        <v>60.381999999999998</v>
      </c>
      <c r="S26" s="61">
        <v>65.701999999999998</v>
      </c>
      <c r="T26" s="61">
        <v>66.7</v>
      </c>
      <c r="U26" s="61">
        <v>70.209999999999994</v>
      </c>
      <c r="V26" s="61">
        <v>71.039000000000001</v>
      </c>
      <c r="W26" s="61">
        <v>73.001000000000005</v>
      </c>
      <c r="X26" s="61">
        <v>74.058999999999997</v>
      </c>
      <c r="Y26" s="61">
        <v>70.417000000000002</v>
      </c>
      <c r="Z26" s="61">
        <v>74.459999999999994</v>
      </c>
      <c r="AA26" s="61">
        <v>71.933999999999997</v>
      </c>
      <c r="AB26" s="61">
        <v>73.769000000000005</v>
      </c>
      <c r="AC26" s="61">
        <v>64.231999999999999</v>
      </c>
      <c r="AD26" s="61">
        <v>65.911000000000001</v>
      </c>
      <c r="AE26" s="61">
        <v>64.698999999999998</v>
      </c>
      <c r="AF26" s="60">
        <v>63.720999999999997</v>
      </c>
      <c r="AG26" s="130"/>
      <c r="AH26" s="135">
        <f t="shared" si="2"/>
        <v>0</v>
      </c>
      <c r="AI26" s="67"/>
      <c r="AJ26" s="67"/>
      <c r="AK26" s="67"/>
      <c r="AL26" s="67"/>
      <c r="AM26" s="67"/>
      <c r="AN26" s="67"/>
      <c r="AO26" s="67"/>
    </row>
    <row r="27" spans="1:41" s="70" customFormat="1" ht="24.75" customHeight="1" x14ac:dyDescent="0.2">
      <c r="A27" s="147" t="s">
        <v>29</v>
      </c>
      <c r="B27" s="148">
        <f t="shared" ref="B27:G27" si="17">SUM(B25:B26)</f>
        <v>154.78800000000001</v>
      </c>
      <c r="C27" s="149">
        <f t="shared" si="17"/>
        <v>489.90000000000003</v>
      </c>
      <c r="D27" s="149">
        <f t="shared" si="17"/>
        <v>509.3</v>
      </c>
      <c r="E27" s="149">
        <f t="shared" si="17"/>
        <v>519.20000000000005</v>
      </c>
      <c r="F27" s="149">
        <f t="shared" si="17"/>
        <v>564.70000000000005</v>
      </c>
      <c r="G27" s="149">
        <f t="shared" si="17"/>
        <v>590.76700000000005</v>
      </c>
      <c r="H27" s="149">
        <f>H4+H6+H8+H10+H12+H14+H16+H18+H20+H22+H24+H26</f>
        <v>623.3119999999999</v>
      </c>
      <c r="I27" s="149">
        <f>I4+I6+I8+I10+I12+I14+I16+I18+I20+I22+I24+I26</f>
        <v>648.80999999999995</v>
      </c>
      <c r="J27" s="149">
        <v>631.87</v>
      </c>
      <c r="K27" s="149">
        <f t="shared" ref="K27:AF27" si="18">K4+K6+K8+K10+K12+K14+K16+K18+K20+K22+K24+K26</f>
        <v>638.88</v>
      </c>
      <c r="L27" s="149">
        <f t="shared" si="18"/>
        <v>656.95400000000006</v>
      </c>
      <c r="M27" s="149">
        <f t="shared" si="18"/>
        <v>675.96499999999992</v>
      </c>
      <c r="N27" s="149">
        <f t="shared" si="18"/>
        <v>647.65300000000002</v>
      </c>
      <c r="O27" s="149">
        <f t="shared" si="18"/>
        <v>654.29499999999996</v>
      </c>
      <c r="P27" s="149">
        <f t="shared" si="18"/>
        <v>670.32100000000014</v>
      </c>
      <c r="Q27" s="149">
        <f t="shared" si="18"/>
        <v>671.76200000000006</v>
      </c>
      <c r="R27" s="149">
        <f t="shared" si="18"/>
        <v>656.29599999999994</v>
      </c>
      <c r="S27" s="149">
        <f t="shared" si="18"/>
        <v>703.71500000000003</v>
      </c>
      <c r="T27" s="149">
        <f t="shared" si="18"/>
        <v>721.59400000000005</v>
      </c>
      <c r="U27" s="149">
        <f t="shared" si="18"/>
        <v>749.4799999999999</v>
      </c>
      <c r="V27" s="149">
        <f t="shared" si="18"/>
        <v>771.99300000000005</v>
      </c>
      <c r="W27" s="149">
        <f t="shared" si="18"/>
        <v>794.08799999999997</v>
      </c>
      <c r="X27" s="149">
        <f t="shared" si="18"/>
        <v>810.97400000000005</v>
      </c>
      <c r="Y27" s="149">
        <f t="shared" si="18"/>
        <v>805.94100000000003</v>
      </c>
      <c r="Z27" s="149">
        <f t="shared" si="18"/>
        <v>809.86200000000008</v>
      </c>
      <c r="AA27" s="149">
        <f t="shared" si="18"/>
        <v>816.37299999999993</v>
      </c>
      <c r="AB27" s="149">
        <f t="shared" si="18"/>
        <v>811.51199999999994</v>
      </c>
      <c r="AC27" s="149">
        <f t="shared" si="18"/>
        <v>746.28100000000006</v>
      </c>
      <c r="AD27" s="149">
        <f t="shared" si="18"/>
        <v>760.9860000000001</v>
      </c>
      <c r="AE27" s="149">
        <f t="shared" si="18"/>
        <v>730.05599999999993</v>
      </c>
      <c r="AF27" s="149">
        <f t="shared" si="18"/>
        <v>701.45600000000002</v>
      </c>
      <c r="AG27" s="162">
        <f>SUM(AF27*AH15)</f>
        <v>674.25968887306078</v>
      </c>
      <c r="AH27" s="151" t="s">
        <v>57</v>
      </c>
      <c r="AI27" s="69"/>
      <c r="AJ27" s="69"/>
      <c r="AK27" s="69"/>
      <c r="AL27" s="69"/>
      <c r="AM27" s="69"/>
      <c r="AN27" s="69"/>
      <c r="AO27" s="69"/>
    </row>
    <row r="28" spans="1:41" s="70" customFormat="1" ht="14.45" customHeight="1" x14ac:dyDescent="0.25">
      <c r="A28" s="163"/>
      <c r="B28" s="164"/>
      <c r="C28" s="164"/>
      <c r="D28" s="165">
        <f t="shared" ref="D28:I28" si="19">SUM(D27/C27)</f>
        <v>1.0395999183506837</v>
      </c>
      <c r="E28" s="165">
        <f t="shared" si="19"/>
        <v>1.0194384449244061</v>
      </c>
      <c r="F28" s="165">
        <f t="shared" si="19"/>
        <v>1.0876348228043142</v>
      </c>
      <c r="G28" s="165">
        <f t="shared" si="19"/>
        <v>1.0461607933415973</v>
      </c>
      <c r="H28" s="165">
        <f t="shared" si="19"/>
        <v>1.0550894007282057</v>
      </c>
      <c r="I28" s="165">
        <f t="shared" si="19"/>
        <v>1.0409072823882743</v>
      </c>
      <c r="J28" s="165">
        <f>SUM(631.87/I27)</f>
        <v>0.9738906613646523</v>
      </c>
      <c r="K28" s="165">
        <f>SUM(K27/631.87)</f>
        <v>1.0110940541567095</v>
      </c>
      <c r="L28" s="165">
        <f t="shared" ref="L28:AF28" si="20">SUM(L27/K27)</f>
        <v>1.0282901327322815</v>
      </c>
      <c r="M28" s="165">
        <f t="shared" si="20"/>
        <v>1.0289380991667603</v>
      </c>
      <c r="N28" s="165">
        <f t="shared" si="20"/>
        <v>0.95811617465401333</v>
      </c>
      <c r="O28" s="165">
        <f t="shared" si="20"/>
        <v>1.0102554917525279</v>
      </c>
      <c r="P28" s="165">
        <f t="shared" si="20"/>
        <v>1.0244935388471563</v>
      </c>
      <c r="Q28" s="165">
        <f t="shared" si="20"/>
        <v>1.0021497163299373</v>
      </c>
      <c r="R28" s="165">
        <f t="shared" si="20"/>
        <v>0.97697696505607623</v>
      </c>
      <c r="S28" s="165">
        <f t="shared" si="20"/>
        <v>1.0722524592561895</v>
      </c>
      <c r="T28" s="165">
        <f t="shared" si="20"/>
        <v>1.0254065921573365</v>
      </c>
      <c r="U28" s="165">
        <f t="shared" si="20"/>
        <v>1.038644999819843</v>
      </c>
      <c r="V28" s="165">
        <f t="shared" si="20"/>
        <v>1.0300381597907884</v>
      </c>
      <c r="W28" s="165">
        <f t="shared" si="20"/>
        <v>1.0286207258355968</v>
      </c>
      <c r="X28" s="165">
        <f t="shared" si="20"/>
        <v>1.0212646457319592</v>
      </c>
      <c r="Y28" s="165">
        <f t="shared" si="20"/>
        <v>0.99379388241793198</v>
      </c>
      <c r="Z28" s="165">
        <f t="shared" si="20"/>
        <v>1.0048651203996324</v>
      </c>
      <c r="AA28" s="165">
        <f t="shared" si="20"/>
        <v>1.0080396413216077</v>
      </c>
      <c r="AB28" s="165">
        <f t="shared" si="20"/>
        <v>0.99404561395342572</v>
      </c>
      <c r="AC28" s="165">
        <f t="shared" si="20"/>
        <v>0.91961794773213468</v>
      </c>
      <c r="AD28" s="165">
        <f t="shared" si="20"/>
        <v>1.0197043740896525</v>
      </c>
      <c r="AE28" s="165">
        <f t="shared" si="20"/>
        <v>0.95935536264793286</v>
      </c>
      <c r="AF28" s="165">
        <f t="shared" si="20"/>
        <v>0.96082492301960409</v>
      </c>
      <c r="AG28" s="165">
        <f t="shared" ref="AG28" si="21">SUM(AG27/AF27)</f>
        <v>0.96122877111759075</v>
      </c>
      <c r="AH28" s="166"/>
      <c r="AI28" s="112"/>
      <c r="AM28" s="69"/>
    </row>
    <row r="29" spans="1:41" x14ac:dyDescent="0.2">
      <c r="A29" s="208" t="s">
        <v>28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</row>
    <row r="30" spans="1:41" x14ac:dyDescent="0.2">
      <c r="A30" s="208" t="s">
        <v>27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</row>
    <row r="31" spans="1:41" x14ac:dyDescent="0.2">
      <c r="A31" s="11" t="s">
        <v>26</v>
      </c>
      <c r="B31" s="6"/>
      <c r="C31" s="5"/>
      <c r="D31" s="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41" x14ac:dyDescent="0.2">
      <c r="AF32" s="7"/>
    </row>
    <row r="33" spans="1:32" x14ac:dyDescent="0.2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173"/>
      <c r="X33" s="173"/>
      <c r="Y33" s="173"/>
      <c r="Z33" s="173"/>
      <c r="AA33" s="173"/>
      <c r="AB33" s="173"/>
      <c r="AC33" s="173"/>
      <c r="AD33" s="173"/>
      <c r="AE33" s="173"/>
      <c r="AF33" s="8"/>
    </row>
    <row r="34" spans="1:32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173"/>
      <c r="X34" s="173"/>
      <c r="Y34" s="173"/>
      <c r="Z34" s="173"/>
      <c r="AA34" s="173"/>
      <c r="AB34" s="173"/>
      <c r="AC34" s="173"/>
      <c r="AD34" s="173"/>
      <c r="AE34" s="173"/>
      <c r="AF34" s="8"/>
    </row>
    <row r="35" spans="1:32" x14ac:dyDescent="0.2">
      <c r="A35" s="11"/>
      <c r="B35" s="6"/>
      <c r="C35" s="5"/>
      <c r="D35" s="5"/>
      <c r="E35" s="5"/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73"/>
    </row>
    <row r="36" spans="1:32" x14ac:dyDescent="0.2">
      <c r="AF36" s="173"/>
    </row>
    <row r="37" spans="1:32" x14ac:dyDescent="0.2">
      <c r="AF37" s="5"/>
    </row>
    <row r="38" spans="1:32" x14ac:dyDescent="0.2">
      <c r="AF38" s="7"/>
    </row>
    <row r="40" spans="1:32" x14ac:dyDescent="0.2">
      <c r="B40" s="44"/>
      <c r="C40" s="44"/>
      <c r="D40" s="44"/>
      <c r="AF40" s="5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6">
    <mergeCell ref="A34:V34"/>
    <mergeCell ref="A1:AH1"/>
    <mergeCell ref="A2:AH2"/>
    <mergeCell ref="A29:V29"/>
    <mergeCell ref="A30:V30"/>
    <mergeCell ref="A33:V33"/>
  </mergeCells>
  <printOptions horizontalCentered="1"/>
  <pageMargins left="0.25" right="0.22" top="0.53" bottom="0.25" header="0.92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E1A8-59C9-4D65-BE04-28BDCBA9EF66}">
  <sheetPr>
    <pageSetUpPr fitToPage="1"/>
  </sheetPr>
  <dimension ref="A1:AN54"/>
  <sheetViews>
    <sheetView topLeftCell="A3" zoomScale="110" zoomScaleNormal="110" workbookViewId="0">
      <pane xSplit="2" topLeftCell="C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5" customWidth="1"/>
    <col min="2" max="2" width="13.5703125" style="1" hidden="1" customWidth="1"/>
    <col min="3" max="8" width="7.28515625" style="1" hidden="1" customWidth="1"/>
    <col min="9" max="18" width="7.28515625" style="4" hidden="1" customWidth="1"/>
    <col min="19" max="33" width="7.28515625" style="4" customWidth="1"/>
    <col min="34" max="34" width="8.7109375" style="16" bestFit="1" customWidth="1"/>
    <col min="35" max="36" width="9.140625" style="1"/>
    <col min="37" max="37" width="16.140625" style="2" customWidth="1"/>
    <col min="38" max="39" width="16.140625" style="1" customWidth="1"/>
    <col min="40" max="16384" width="9.140625" style="1"/>
  </cols>
  <sheetData>
    <row r="1" spans="1:39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9" ht="15.75" x14ac:dyDescent="0.25">
      <c r="A2" s="207" t="s">
        <v>49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9" ht="14.25" customHeight="1" x14ac:dyDescent="0.2">
      <c r="A3" s="195"/>
      <c r="B3" s="73">
        <v>1993</v>
      </c>
      <c r="C3" s="74">
        <v>1994</v>
      </c>
      <c r="D3" s="74">
        <v>1995</v>
      </c>
      <c r="E3" s="74">
        <v>1996</v>
      </c>
      <c r="F3" s="74">
        <v>1997</v>
      </c>
      <c r="G3" s="74">
        <v>1998</v>
      </c>
      <c r="H3" s="63">
        <v>1999</v>
      </c>
      <c r="I3" s="63">
        <v>2000</v>
      </c>
      <c r="J3" s="63">
        <v>2001</v>
      </c>
      <c r="K3" s="63">
        <v>2002</v>
      </c>
      <c r="L3" s="63">
        <v>2003</v>
      </c>
      <c r="M3" s="63">
        <v>2004</v>
      </c>
      <c r="N3" s="63">
        <v>2005</v>
      </c>
      <c r="O3" s="63">
        <v>2006</v>
      </c>
      <c r="P3" s="63">
        <v>2007</v>
      </c>
      <c r="Q3" s="63">
        <v>2008</v>
      </c>
      <c r="R3" s="63">
        <v>2009</v>
      </c>
      <c r="S3" s="63">
        <v>2010</v>
      </c>
      <c r="T3" s="63">
        <v>2011</v>
      </c>
      <c r="U3" s="63">
        <v>2012</v>
      </c>
      <c r="V3" s="63" t="s">
        <v>46</v>
      </c>
      <c r="W3" s="63" t="s">
        <v>45</v>
      </c>
      <c r="X3" s="63" t="s">
        <v>44</v>
      </c>
      <c r="Y3" s="63" t="s">
        <v>43</v>
      </c>
      <c r="Z3" s="63" t="s">
        <v>50</v>
      </c>
      <c r="AA3" s="63" t="s">
        <v>51</v>
      </c>
      <c r="AB3" s="63" t="s">
        <v>55</v>
      </c>
      <c r="AC3" s="63" t="s">
        <v>56</v>
      </c>
      <c r="AD3" s="63" t="s">
        <v>58</v>
      </c>
      <c r="AE3" s="63" t="s">
        <v>66</v>
      </c>
      <c r="AF3" s="63" t="s">
        <v>67</v>
      </c>
      <c r="AG3" s="63" t="s">
        <v>68</v>
      </c>
      <c r="AH3" s="131" t="s">
        <v>4</v>
      </c>
      <c r="AK3" s="62"/>
    </row>
    <row r="4" spans="1:39" s="53" customFormat="1" ht="14.25" customHeight="1" x14ac:dyDescent="0.3">
      <c r="A4" s="113" t="s">
        <v>42</v>
      </c>
      <c r="B4" s="79">
        <v>29.468</v>
      </c>
      <c r="C4" s="86">
        <v>0.27</v>
      </c>
      <c r="D4" s="87">
        <v>0.35</v>
      </c>
      <c r="E4" s="88">
        <v>0.72</v>
      </c>
      <c r="F4" s="88">
        <v>1.56</v>
      </c>
      <c r="G4" s="89">
        <v>2.11</v>
      </c>
      <c r="H4" s="87">
        <v>2.46</v>
      </c>
      <c r="I4" s="90">
        <v>2.38</v>
      </c>
      <c r="J4" s="91">
        <v>3.5270000000000001</v>
      </c>
      <c r="K4" s="91">
        <v>4.5860000000000003</v>
      </c>
      <c r="L4" s="91">
        <v>4.5119999999999996</v>
      </c>
      <c r="M4" s="91">
        <v>5.91</v>
      </c>
      <c r="N4" s="92">
        <v>5.71</v>
      </c>
      <c r="O4" s="90">
        <v>6.7949999999999999</v>
      </c>
      <c r="P4" s="91">
        <v>6.282</v>
      </c>
      <c r="Q4" s="90">
        <v>7.6280000000000001</v>
      </c>
      <c r="R4" s="90">
        <v>7.9690000000000003</v>
      </c>
      <c r="S4" s="90">
        <v>7.9119999999999999</v>
      </c>
      <c r="T4" s="90">
        <v>8.2230000000000008</v>
      </c>
      <c r="U4" s="90">
        <v>8.7859999999999996</v>
      </c>
      <c r="V4" s="90">
        <v>9.0749999999999993</v>
      </c>
      <c r="W4" s="90">
        <v>10.625999999999999</v>
      </c>
      <c r="X4" s="90">
        <v>9.65</v>
      </c>
      <c r="Y4" s="90">
        <v>11.192</v>
      </c>
      <c r="Z4" s="90">
        <v>10.916</v>
      </c>
      <c r="AA4" s="90">
        <v>13.935</v>
      </c>
      <c r="AB4" s="90">
        <v>16.486999999999998</v>
      </c>
      <c r="AC4" s="90">
        <v>17.058</v>
      </c>
      <c r="AD4" s="127">
        <v>16.038</v>
      </c>
      <c r="AE4" s="127">
        <v>19.847999999999999</v>
      </c>
      <c r="AF4" s="127">
        <v>18.334</v>
      </c>
      <c r="AG4" s="127">
        <v>19.152999999999999</v>
      </c>
      <c r="AH4" s="132">
        <f>SUM(AG4/AF4)</f>
        <v>1.0446711028689866</v>
      </c>
      <c r="AJ4" s="80"/>
      <c r="AK4" s="81"/>
      <c r="AL4" s="81"/>
      <c r="AM4" s="81"/>
    </row>
    <row r="5" spans="1:39" ht="14.25" customHeight="1" x14ac:dyDescent="0.3">
      <c r="A5" s="114" t="s">
        <v>31</v>
      </c>
      <c r="B5" s="75"/>
      <c r="C5" s="93">
        <f t="shared" ref="C5:AD5" si="0">SUM(C4)</f>
        <v>0.27</v>
      </c>
      <c r="D5" s="94">
        <f t="shared" si="0"/>
        <v>0.35</v>
      </c>
      <c r="E5" s="95">
        <f t="shared" si="0"/>
        <v>0.72</v>
      </c>
      <c r="F5" s="95">
        <f t="shared" si="0"/>
        <v>1.56</v>
      </c>
      <c r="G5" s="96">
        <f t="shared" si="0"/>
        <v>2.11</v>
      </c>
      <c r="H5" s="94">
        <f t="shared" si="0"/>
        <v>2.46</v>
      </c>
      <c r="I5" s="97">
        <f t="shared" si="0"/>
        <v>2.38</v>
      </c>
      <c r="J5" s="97">
        <f t="shared" si="0"/>
        <v>3.5270000000000001</v>
      </c>
      <c r="K5" s="97">
        <f t="shared" si="0"/>
        <v>4.5860000000000003</v>
      </c>
      <c r="L5" s="97">
        <f t="shared" si="0"/>
        <v>4.5119999999999996</v>
      </c>
      <c r="M5" s="97">
        <f t="shared" si="0"/>
        <v>5.91</v>
      </c>
      <c r="N5" s="97">
        <f t="shared" si="0"/>
        <v>5.71</v>
      </c>
      <c r="O5" s="97">
        <f t="shared" si="0"/>
        <v>6.7949999999999999</v>
      </c>
      <c r="P5" s="97">
        <f t="shared" si="0"/>
        <v>6.282</v>
      </c>
      <c r="Q5" s="97">
        <f t="shared" si="0"/>
        <v>7.6280000000000001</v>
      </c>
      <c r="R5" s="97">
        <f t="shared" si="0"/>
        <v>7.9690000000000003</v>
      </c>
      <c r="S5" s="97">
        <f t="shared" si="0"/>
        <v>7.9119999999999999</v>
      </c>
      <c r="T5" s="97">
        <f t="shared" si="0"/>
        <v>8.2230000000000008</v>
      </c>
      <c r="U5" s="97">
        <f t="shared" si="0"/>
        <v>8.7859999999999996</v>
      </c>
      <c r="V5" s="97">
        <f t="shared" si="0"/>
        <v>9.0749999999999993</v>
      </c>
      <c r="W5" s="97">
        <f t="shared" si="0"/>
        <v>10.625999999999999</v>
      </c>
      <c r="X5" s="97">
        <f t="shared" si="0"/>
        <v>9.65</v>
      </c>
      <c r="Y5" s="97">
        <f t="shared" si="0"/>
        <v>11.192</v>
      </c>
      <c r="Z5" s="97">
        <f t="shared" si="0"/>
        <v>10.916</v>
      </c>
      <c r="AA5" s="97">
        <f t="shared" si="0"/>
        <v>13.935</v>
      </c>
      <c r="AB5" s="97">
        <f t="shared" si="0"/>
        <v>16.486999999999998</v>
      </c>
      <c r="AC5" s="97">
        <f t="shared" si="0"/>
        <v>17.058</v>
      </c>
      <c r="AD5" s="128">
        <f t="shared" si="0"/>
        <v>16.038</v>
      </c>
      <c r="AE5" s="128">
        <f t="shared" ref="AE5:AG5" si="1">SUM(AE4)</f>
        <v>19.847999999999999</v>
      </c>
      <c r="AF5" s="128">
        <f t="shared" si="1"/>
        <v>18.334</v>
      </c>
      <c r="AG5" s="128">
        <f t="shared" si="1"/>
        <v>19.152999999999999</v>
      </c>
      <c r="AH5" s="133">
        <f t="shared" ref="AH5:AH26" si="2">SUM(AG5/AF5)</f>
        <v>1.0446711028689866</v>
      </c>
      <c r="AJ5" s="19"/>
      <c r="AK5" s="18"/>
      <c r="AL5" s="18"/>
      <c r="AM5" s="18"/>
    </row>
    <row r="6" spans="1:39" s="53" customFormat="1" ht="14.25" customHeight="1" x14ac:dyDescent="0.3">
      <c r="A6" s="113" t="s">
        <v>41</v>
      </c>
      <c r="B6" s="82">
        <v>27.055</v>
      </c>
      <c r="C6" s="98">
        <v>0.18</v>
      </c>
      <c r="D6" s="99">
        <v>0.62</v>
      </c>
      <c r="E6" s="100">
        <v>0.49</v>
      </c>
      <c r="F6" s="100">
        <v>0.95</v>
      </c>
      <c r="G6" s="89">
        <v>1.8</v>
      </c>
      <c r="H6" s="99">
        <v>1.92</v>
      </c>
      <c r="I6" s="90">
        <v>2.64</v>
      </c>
      <c r="J6" s="90">
        <v>2.9</v>
      </c>
      <c r="K6" s="90">
        <v>3.1389999999999998</v>
      </c>
      <c r="L6" s="90">
        <v>4.2510000000000003</v>
      </c>
      <c r="M6" s="90">
        <v>5.0289999999999999</v>
      </c>
      <c r="N6" s="92">
        <v>5.3</v>
      </c>
      <c r="O6" s="90">
        <v>5.4589999999999996</v>
      </c>
      <c r="P6" s="90">
        <v>6.907</v>
      </c>
      <c r="Q6" s="90">
        <v>7.69</v>
      </c>
      <c r="R6" s="90">
        <v>6.2910000000000004</v>
      </c>
      <c r="S6" s="90">
        <v>7.2089999999999996</v>
      </c>
      <c r="T6" s="90">
        <v>6.9349999999999996</v>
      </c>
      <c r="U6" s="90">
        <v>7.4509999999999996</v>
      </c>
      <c r="V6" s="90">
        <v>7.774</v>
      </c>
      <c r="W6" s="90">
        <v>8.0039999999999996</v>
      </c>
      <c r="X6" s="90">
        <v>8.0350000000000001</v>
      </c>
      <c r="Y6" s="90">
        <v>11.78</v>
      </c>
      <c r="Z6" s="90">
        <v>8.8979999999999997</v>
      </c>
      <c r="AA6" s="90">
        <v>10.223000000000001</v>
      </c>
      <c r="AB6" s="90">
        <v>13.391999999999999</v>
      </c>
      <c r="AC6" s="90">
        <v>15.034000000000001</v>
      </c>
      <c r="AD6" s="127">
        <v>15.651</v>
      </c>
      <c r="AE6" s="127">
        <v>17.187000000000001</v>
      </c>
      <c r="AF6" s="127">
        <v>14.364000000000001</v>
      </c>
      <c r="AG6" s="127">
        <v>16.247</v>
      </c>
      <c r="AH6" s="132">
        <f t="shared" si="2"/>
        <v>1.1310916179337231</v>
      </c>
      <c r="AJ6" s="80"/>
      <c r="AK6" s="81"/>
      <c r="AL6" s="81"/>
      <c r="AM6" s="81"/>
    </row>
    <row r="7" spans="1:39" ht="14.25" customHeight="1" x14ac:dyDescent="0.3">
      <c r="A7" s="114" t="s">
        <v>31</v>
      </c>
      <c r="B7" s="75"/>
      <c r="C7" s="93">
        <f t="shared" ref="C7:AD7" si="3">SUM(C5:C6)</f>
        <v>0.45</v>
      </c>
      <c r="D7" s="94">
        <f t="shared" si="3"/>
        <v>0.97</v>
      </c>
      <c r="E7" s="95">
        <f t="shared" si="3"/>
        <v>1.21</v>
      </c>
      <c r="F7" s="95">
        <f t="shared" si="3"/>
        <v>2.5099999999999998</v>
      </c>
      <c r="G7" s="96">
        <f t="shared" si="3"/>
        <v>3.91</v>
      </c>
      <c r="H7" s="94">
        <f t="shared" si="3"/>
        <v>4.38</v>
      </c>
      <c r="I7" s="97">
        <f t="shared" si="3"/>
        <v>5.0199999999999996</v>
      </c>
      <c r="J7" s="97">
        <f t="shared" si="3"/>
        <v>6.4269999999999996</v>
      </c>
      <c r="K7" s="97">
        <f t="shared" si="3"/>
        <v>7.7249999999999996</v>
      </c>
      <c r="L7" s="97">
        <f t="shared" si="3"/>
        <v>8.7629999999999999</v>
      </c>
      <c r="M7" s="97">
        <f t="shared" si="3"/>
        <v>10.939</v>
      </c>
      <c r="N7" s="97">
        <f t="shared" si="3"/>
        <v>11.01</v>
      </c>
      <c r="O7" s="97">
        <f t="shared" si="3"/>
        <v>12.254</v>
      </c>
      <c r="P7" s="97">
        <f t="shared" si="3"/>
        <v>13.189</v>
      </c>
      <c r="Q7" s="97">
        <f t="shared" si="3"/>
        <v>15.318000000000001</v>
      </c>
      <c r="R7" s="97">
        <f t="shared" si="3"/>
        <v>14.260000000000002</v>
      </c>
      <c r="S7" s="97">
        <f t="shared" si="3"/>
        <v>15.120999999999999</v>
      </c>
      <c r="T7" s="97">
        <f t="shared" si="3"/>
        <v>15.158000000000001</v>
      </c>
      <c r="U7" s="97">
        <f t="shared" si="3"/>
        <v>16.236999999999998</v>
      </c>
      <c r="V7" s="97">
        <f t="shared" si="3"/>
        <v>16.849</v>
      </c>
      <c r="W7" s="97">
        <f t="shared" si="3"/>
        <v>18.63</v>
      </c>
      <c r="X7" s="97">
        <f t="shared" si="3"/>
        <v>17.685000000000002</v>
      </c>
      <c r="Y7" s="97">
        <f t="shared" si="3"/>
        <v>22.972000000000001</v>
      </c>
      <c r="Z7" s="97">
        <f t="shared" si="3"/>
        <v>19.814</v>
      </c>
      <c r="AA7" s="97">
        <f t="shared" si="3"/>
        <v>24.158000000000001</v>
      </c>
      <c r="AB7" s="97">
        <f t="shared" si="3"/>
        <v>29.878999999999998</v>
      </c>
      <c r="AC7" s="97">
        <f t="shared" si="3"/>
        <v>32.091999999999999</v>
      </c>
      <c r="AD7" s="128">
        <f t="shared" si="3"/>
        <v>31.689</v>
      </c>
      <c r="AE7" s="128">
        <f t="shared" ref="AE7:AG7" si="4">SUM(AE5:AE6)</f>
        <v>37.034999999999997</v>
      </c>
      <c r="AF7" s="128">
        <f t="shared" si="4"/>
        <v>32.698</v>
      </c>
      <c r="AG7" s="128">
        <f t="shared" si="4"/>
        <v>35.4</v>
      </c>
      <c r="AH7" s="133">
        <f t="shared" si="2"/>
        <v>1.0826350235488409</v>
      </c>
      <c r="AJ7" s="19"/>
      <c r="AK7" s="18"/>
      <c r="AL7" s="18"/>
      <c r="AM7" s="18"/>
    </row>
    <row r="8" spans="1:39" s="53" customFormat="1" ht="14.25" customHeight="1" x14ac:dyDescent="0.3">
      <c r="A8" s="113" t="s">
        <v>40</v>
      </c>
      <c r="B8" s="82">
        <v>28.225000000000001</v>
      </c>
      <c r="C8" s="98">
        <v>0.13</v>
      </c>
      <c r="D8" s="99">
        <v>0.75</v>
      </c>
      <c r="E8" s="100">
        <v>0.77</v>
      </c>
      <c r="F8" s="100">
        <v>1.1499999999999999</v>
      </c>
      <c r="G8" s="101">
        <v>1.52</v>
      </c>
      <c r="H8" s="102">
        <v>2.34</v>
      </c>
      <c r="I8" s="103">
        <v>3.3</v>
      </c>
      <c r="J8" s="103">
        <v>3.5680000000000001</v>
      </c>
      <c r="K8" s="103">
        <v>4.1210000000000004</v>
      </c>
      <c r="L8" s="103">
        <v>5.64</v>
      </c>
      <c r="M8" s="103">
        <v>6.0259999999999998</v>
      </c>
      <c r="N8" s="104">
        <v>5.95</v>
      </c>
      <c r="O8" s="103">
        <v>6.3650000000000002</v>
      </c>
      <c r="P8" s="103">
        <v>6.4089999999999998</v>
      </c>
      <c r="Q8" s="103">
        <v>6.7519999999999998</v>
      </c>
      <c r="R8" s="103">
        <v>6.9240000000000004</v>
      </c>
      <c r="S8" s="103">
        <v>7.8390000000000004</v>
      </c>
      <c r="T8" s="103">
        <v>7.7670000000000003</v>
      </c>
      <c r="U8" s="103">
        <v>9.3759999999999994</v>
      </c>
      <c r="V8" s="103">
        <v>8.75</v>
      </c>
      <c r="W8" s="103">
        <v>8.1280000000000001</v>
      </c>
      <c r="X8" s="103">
        <v>9.6989999999999998</v>
      </c>
      <c r="Y8" s="103">
        <v>11.093</v>
      </c>
      <c r="Z8" s="103">
        <v>12.584</v>
      </c>
      <c r="AA8" s="103">
        <v>13.307</v>
      </c>
      <c r="AB8" s="103">
        <v>13.952</v>
      </c>
      <c r="AC8" s="103">
        <v>17.190000000000001</v>
      </c>
      <c r="AD8" s="129">
        <v>18.321999999999999</v>
      </c>
      <c r="AE8" s="129">
        <v>18.902999999999999</v>
      </c>
      <c r="AF8" s="129">
        <v>18.611999999999998</v>
      </c>
      <c r="AG8" s="129">
        <v>18.079999999999998</v>
      </c>
      <c r="AH8" s="134">
        <f t="shared" si="2"/>
        <v>0.97141629056522671</v>
      </c>
      <c r="AJ8" s="84"/>
      <c r="AK8" s="81"/>
      <c r="AL8" s="81"/>
      <c r="AM8" s="81"/>
    </row>
    <row r="9" spans="1:39" ht="14.25" customHeight="1" x14ac:dyDescent="0.3">
      <c r="A9" s="114" t="s">
        <v>31</v>
      </c>
      <c r="B9" s="75"/>
      <c r="C9" s="93">
        <f t="shared" ref="C9:AD9" si="5">SUM(C7:C8)</f>
        <v>0.58000000000000007</v>
      </c>
      <c r="D9" s="94">
        <f t="shared" si="5"/>
        <v>1.72</v>
      </c>
      <c r="E9" s="95">
        <f t="shared" si="5"/>
        <v>1.98</v>
      </c>
      <c r="F9" s="95">
        <f t="shared" si="5"/>
        <v>3.6599999999999997</v>
      </c>
      <c r="G9" s="105">
        <f t="shared" si="5"/>
        <v>5.43</v>
      </c>
      <c r="H9" s="106">
        <f t="shared" si="5"/>
        <v>6.72</v>
      </c>
      <c r="I9" s="107">
        <f t="shared" si="5"/>
        <v>8.32</v>
      </c>
      <c r="J9" s="107">
        <f t="shared" si="5"/>
        <v>9.9949999999999992</v>
      </c>
      <c r="K9" s="107">
        <f t="shared" si="5"/>
        <v>11.846</v>
      </c>
      <c r="L9" s="107">
        <f t="shared" si="5"/>
        <v>14.402999999999999</v>
      </c>
      <c r="M9" s="107">
        <f t="shared" si="5"/>
        <v>16.965</v>
      </c>
      <c r="N9" s="107">
        <f t="shared" si="5"/>
        <v>16.96</v>
      </c>
      <c r="O9" s="107">
        <f t="shared" si="5"/>
        <v>18.619</v>
      </c>
      <c r="P9" s="107">
        <f t="shared" si="5"/>
        <v>19.597999999999999</v>
      </c>
      <c r="Q9" s="107">
        <f t="shared" si="5"/>
        <v>22.07</v>
      </c>
      <c r="R9" s="107">
        <f t="shared" si="5"/>
        <v>21.184000000000001</v>
      </c>
      <c r="S9" s="107">
        <f t="shared" si="5"/>
        <v>22.96</v>
      </c>
      <c r="T9" s="107">
        <f t="shared" si="5"/>
        <v>22.925000000000001</v>
      </c>
      <c r="U9" s="107">
        <f t="shared" si="5"/>
        <v>25.613</v>
      </c>
      <c r="V9" s="97">
        <f t="shared" si="5"/>
        <v>25.599</v>
      </c>
      <c r="W9" s="97">
        <f t="shared" si="5"/>
        <v>26.757999999999999</v>
      </c>
      <c r="X9" s="97">
        <f t="shared" si="5"/>
        <v>27.384</v>
      </c>
      <c r="Y9" s="97">
        <f t="shared" si="5"/>
        <v>34.064999999999998</v>
      </c>
      <c r="Z9" s="97">
        <f t="shared" si="5"/>
        <v>32.397999999999996</v>
      </c>
      <c r="AA9" s="97">
        <f t="shared" si="5"/>
        <v>37.465000000000003</v>
      </c>
      <c r="AB9" s="97">
        <f t="shared" si="5"/>
        <v>43.830999999999996</v>
      </c>
      <c r="AC9" s="97">
        <f t="shared" si="5"/>
        <v>49.281999999999996</v>
      </c>
      <c r="AD9" s="128">
        <f t="shared" si="5"/>
        <v>50.010999999999996</v>
      </c>
      <c r="AE9" s="128">
        <f t="shared" ref="AE9:AG9" si="6">SUM(AE7:AE8)</f>
        <v>55.937999999999995</v>
      </c>
      <c r="AF9" s="128">
        <f t="shared" si="6"/>
        <v>51.31</v>
      </c>
      <c r="AG9" s="128">
        <f t="shared" si="6"/>
        <v>53.48</v>
      </c>
      <c r="AH9" s="133">
        <f t="shared" si="2"/>
        <v>1.0422919508867665</v>
      </c>
      <c r="AJ9" s="20"/>
      <c r="AK9" s="18"/>
      <c r="AL9" s="18"/>
      <c r="AM9" s="18"/>
    </row>
    <row r="10" spans="1:39" s="53" customFormat="1" ht="14.25" customHeight="1" x14ac:dyDescent="0.3">
      <c r="A10" s="113" t="s">
        <v>39</v>
      </c>
      <c r="B10" s="82">
        <v>29.606999999999999</v>
      </c>
      <c r="C10" s="98">
        <v>0.35</v>
      </c>
      <c r="D10" s="99">
        <v>0.62</v>
      </c>
      <c r="E10" s="100">
        <v>0.64</v>
      </c>
      <c r="F10" s="100">
        <v>1</v>
      </c>
      <c r="G10" s="89">
        <v>1.71</v>
      </c>
      <c r="H10" s="99">
        <v>2.25</v>
      </c>
      <c r="I10" s="90">
        <v>2.86</v>
      </c>
      <c r="J10" s="90">
        <v>3.59</v>
      </c>
      <c r="K10" s="90">
        <v>4.0750000000000002</v>
      </c>
      <c r="L10" s="90">
        <v>5.1269999999999998</v>
      </c>
      <c r="M10" s="90">
        <v>5.8179999999999996</v>
      </c>
      <c r="N10" s="92">
        <v>5.93</v>
      </c>
      <c r="O10" s="90">
        <v>5.9370000000000003</v>
      </c>
      <c r="P10" s="90">
        <v>6.444</v>
      </c>
      <c r="Q10" s="90">
        <v>7.3090000000000002</v>
      </c>
      <c r="R10" s="90">
        <v>7.6689999999999996</v>
      </c>
      <c r="S10" s="90">
        <v>8.0440000000000005</v>
      </c>
      <c r="T10" s="90">
        <v>7.6449999999999996</v>
      </c>
      <c r="U10" s="90">
        <v>8.4489999999999998</v>
      </c>
      <c r="V10" s="90">
        <v>8.9160000000000004</v>
      </c>
      <c r="W10" s="90">
        <v>8.4689999999999994</v>
      </c>
      <c r="X10" s="90">
        <v>10.041</v>
      </c>
      <c r="Y10" s="90">
        <v>9.7710000000000008</v>
      </c>
      <c r="Z10" s="90">
        <v>10.581</v>
      </c>
      <c r="AA10" s="90">
        <v>12.019</v>
      </c>
      <c r="AB10" s="90">
        <v>13.26</v>
      </c>
      <c r="AC10" s="90">
        <v>13.814</v>
      </c>
      <c r="AD10" s="127">
        <v>16.213000000000001</v>
      </c>
      <c r="AE10" s="127">
        <v>16.600999999999999</v>
      </c>
      <c r="AF10" s="127">
        <v>15.311999999999999</v>
      </c>
      <c r="AG10" s="127">
        <v>16.552</v>
      </c>
      <c r="AH10" s="134">
        <f t="shared" si="2"/>
        <v>1.0809822361546499</v>
      </c>
      <c r="AJ10" s="84"/>
      <c r="AK10" s="81"/>
    </row>
    <row r="11" spans="1:39" ht="14.25" customHeight="1" x14ac:dyDescent="0.3">
      <c r="A11" s="114" t="s">
        <v>31</v>
      </c>
      <c r="B11" s="75"/>
      <c r="C11" s="93">
        <f t="shared" ref="C11:AG11" si="7">SUM(C9:C10)</f>
        <v>0.93</v>
      </c>
      <c r="D11" s="94">
        <f t="shared" si="7"/>
        <v>2.34</v>
      </c>
      <c r="E11" s="95">
        <f t="shared" si="7"/>
        <v>2.62</v>
      </c>
      <c r="F11" s="95">
        <f t="shared" si="7"/>
        <v>4.66</v>
      </c>
      <c r="G11" s="96">
        <f t="shared" si="7"/>
        <v>7.14</v>
      </c>
      <c r="H11" s="94">
        <f t="shared" si="7"/>
        <v>8.9699999999999989</v>
      </c>
      <c r="I11" s="97">
        <f t="shared" si="7"/>
        <v>11.18</v>
      </c>
      <c r="J11" s="97">
        <f t="shared" si="7"/>
        <v>13.584999999999999</v>
      </c>
      <c r="K11" s="97">
        <f t="shared" si="7"/>
        <v>15.920999999999999</v>
      </c>
      <c r="L11" s="97">
        <f t="shared" si="7"/>
        <v>19.529999999999998</v>
      </c>
      <c r="M11" s="97">
        <f t="shared" si="7"/>
        <v>22.783000000000001</v>
      </c>
      <c r="N11" s="97">
        <f t="shared" si="7"/>
        <v>22.89</v>
      </c>
      <c r="O11" s="97">
        <f t="shared" si="7"/>
        <v>24.556000000000001</v>
      </c>
      <c r="P11" s="97">
        <f t="shared" si="7"/>
        <v>26.041999999999998</v>
      </c>
      <c r="Q11" s="97">
        <f t="shared" si="7"/>
        <v>29.379000000000001</v>
      </c>
      <c r="R11" s="97">
        <f t="shared" si="7"/>
        <v>28.853000000000002</v>
      </c>
      <c r="S11" s="107">
        <f t="shared" si="7"/>
        <v>31.004000000000001</v>
      </c>
      <c r="T11" s="107">
        <f t="shared" si="7"/>
        <v>30.57</v>
      </c>
      <c r="U11" s="107">
        <f t="shared" si="7"/>
        <v>34.061999999999998</v>
      </c>
      <c r="V11" s="97">
        <f t="shared" si="7"/>
        <v>34.515000000000001</v>
      </c>
      <c r="W11" s="97">
        <f t="shared" si="7"/>
        <v>35.226999999999997</v>
      </c>
      <c r="X11" s="97">
        <f t="shared" si="7"/>
        <v>37.424999999999997</v>
      </c>
      <c r="Y11" s="97">
        <f t="shared" si="7"/>
        <v>43.835999999999999</v>
      </c>
      <c r="Z11" s="97">
        <f t="shared" si="7"/>
        <v>42.978999999999999</v>
      </c>
      <c r="AA11" s="97">
        <f t="shared" si="7"/>
        <v>49.484000000000002</v>
      </c>
      <c r="AB11" s="97">
        <f t="shared" si="7"/>
        <v>57.090999999999994</v>
      </c>
      <c r="AC11" s="97">
        <f t="shared" si="7"/>
        <v>63.095999999999997</v>
      </c>
      <c r="AD11" s="128">
        <f t="shared" si="7"/>
        <v>66.22399999999999</v>
      </c>
      <c r="AE11" s="128">
        <f t="shared" si="7"/>
        <v>72.538999999999987</v>
      </c>
      <c r="AF11" s="128">
        <f t="shared" si="7"/>
        <v>66.622</v>
      </c>
      <c r="AG11" s="128">
        <f t="shared" si="7"/>
        <v>70.031999999999996</v>
      </c>
      <c r="AH11" s="133">
        <f t="shared" si="2"/>
        <v>1.0511842934766293</v>
      </c>
      <c r="AJ11" s="19"/>
      <c r="AK11" s="18"/>
    </row>
    <row r="12" spans="1:39" s="53" customFormat="1" ht="14.25" customHeight="1" x14ac:dyDescent="0.3">
      <c r="A12" s="113" t="s">
        <v>38</v>
      </c>
      <c r="B12" s="82">
        <v>31.042999999999999</v>
      </c>
      <c r="C12" s="98">
        <v>0.45</v>
      </c>
      <c r="D12" s="99">
        <v>0.46</v>
      </c>
      <c r="E12" s="100">
        <v>0.79</v>
      </c>
      <c r="F12" s="100">
        <v>0.98</v>
      </c>
      <c r="G12" s="89">
        <v>1.42</v>
      </c>
      <c r="H12" s="99">
        <v>1.99</v>
      </c>
      <c r="I12" s="90">
        <v>3</v>
      </c>
      <c r="J12" s="90">
        <v>3.76</v>
      </c>
      <c r="K12" s="90">
        <v>4.1349999999999998</v>
      </c>
      <c r="L12" s="90">
        <v>4.8109999999999999</v>
      </c>
      <c r="M12" s="90">
        <v>5.05</v>
      </c>
      <c r="N12" s="92">
        <v>5.76</v>
      </c>
      <c r="O12" s="90">
        <v>6.3330000000000002</v>
      </c>
      <c r="P12" s="90">
        <v>6.6390000000000002</v>
      </c>
      <c r="Q12" s="90">
        <v>6.4039999999999999</v>
      </c>
      <c r="R12" s="90">
        <v>6.8659999999999997</v>
      </c>
      <c r="S12" s="90">
        <v>7.4960000000000004</v>
      </c>
      <c r="T12" s="90">
        <v>7.7119999999999997</v>
      </c>
      <c r="U12" s="90">
        <v>8.718</v>
      </c>
      <c r="V12" s="90">
        <v>8.7289999999999992</v>
      </c>
      <c r="W12" s="90">
        <v>8.782</v>
      </c>
      <c r="X12" s="90">
        <v>8.8219999999999992</v>
      </c>
      <c r="Y12" s="90">
        <v>10.164999999999999</v>
      </c>
      <c r="Z12" s="90">
        <v>11.725</v>
      </c>
      <c r="AA12" s="90">
        <v>12.773999999999999</v>
      </c>
      <c r="AB12" s="90">
        <v>13.654</v>
      </c>
      <c r="AC12" s="90">
        <v>12.798</v>
      </c>
      <c r="AD12" s="127">
        <v>14.581</v>
      </c>
      <c r="AE12" s="127">
        <v>15.932</v>
      </c>
      <c r="AF12" s="127">
        <v>16.213000000000001</v>
      </c>
      <c r="AG12" s="127">
        <v>16.381</v>
      </c>
      <c r="AH12" s="134">
        <f t="shared" si="2"/>
        <v>1.0103620551409362</v>
      </c>
      <c r="AJ12" s="84"/>
      <c r="AK12" s="81"/>
    </row>
    <row r="13" spans="1:39" ht="14.25" customHeight="1" x14ac:dyDescent="0.3">
      <c r="A13" s="114" t="s">
        <v>31</v>
      </c>
      <c r="B13" s="75"/>
      <c r="C13" s="93">
        <f t="shared" ref="C13:AG13" si="8">SUM(C11:C12)</f>
        <v>1.3800000000000001</v>
      </c>
      <c r="D13" s="94">
        <f t="shared" si="8"/>
        <v>2.8</v>
      </c>
      <c r="E13" s="95">
        <f t="shared" si="8"/>
        <v>3.41</v>
      </c>
      <c r="F13" s="95">
        <f t="shared" si="8"/>
        <v>5.6400000000000006</v>
      </c>
      <c r="G13" s="96">
        <f t="shared" si="8"/>
        <v>8.5599999999999987</v>
      </c>
      <c r="H13" s="94">
        <f t="shared" si="8"/>
        <v>10.959999999999999</v>
      </c>
      <c r="I13" s="94">
        <f t="shared" si="8"/>
        <v>14.18</v>
      </c>
      <c r="J13" s="97">
        <f t="shared" si="8"/>
        <v>17.344999999999999</v>
      </c>
      <c r="K13" s="97">
        <f t="shared" si="8"/>
        <v>20.055999999999997</v>
      </c>
      <c r="L13" s="97">
        <f t="shared" si="8"/>
        <v>24.340999999999998</v>
      </c>
      <c r="M13" s="97">
        <f t="shared" si="8"/>
        <v>27.833000000000002</v>
      </c>
      <c r="N13" s="97">
        <f t="shared" si="8"/>
        <v>28.65</v>
      </c>
      <c r="O13" s="97">
        <f t="shared" si="8"/>
        <v>30.889000000000003</v>
      </c>
      <c r="P13" s="97">
        <f t="shared" si="8"/>
        <v>32.680999999999997</v>
      </c>
      <c r="Q13" s="97">
        <f t="shared" si="8"/>
        <v>35.783000000000001</v>
      </c>
      <c r="R13" s="97">
        <f t="shared" si="8"/>
        <v>35.719000000000001</v>
      </c>
      <c r="S13" s="107">
        <f t="shared" si="8"/>
        <v>38.5</v>
      </c>
      <c r="T13" s="107">
        <f t="shared" si="8"/>
        <v>38.281999999999996</v>
      </c>
      <c r="U13" s="107">
        <f t="shared" si="8"/>
        <v>42.78</v>
      </c>
      <c r="V13" s="97">
        <f t="shared" si="8"/>
        <v>43.244</v>
      </c>
      <c r="W13" s="97">
        <f t="shared" si="8"/>
        <v>44.009</v>
      </c>
      <c r="X13" s="97">
        <f t="shared" si="8"/>
        <v>46.247</v>
      </c>
      <c r="Y13" s="97">
        <f t="shared" si="8"/>
        <v>54.000999999999998</v>
      </c>
      <c r="Z13" s="97">
        <f t="shared" si="8"/>
        <v>54.704000000000001</v>
      </c>
      <c r="AA13" s="97">
        <f t="shared" si="8"/>
        <v>62.258000000000003</v>
      </c>
      <c r="AB13" s="97">
        <f t="shared" si="8"/>
        <v>70.74499999999999</v>
      </c>
      <c r="AC13" s="97">
        <f t="shared" si="8"/>
        <v>75.893999999999991</v>
      </c>
      <c r="AD13" s="97">
        <f t="shared" si="8"/>
        <v>80.804999999999993</v>
      </c>
      <c r="AE13" s="97">
        <f t="shared" si="8"/>
        <v>88.470999999999989</v>
      </c>
      <c r="AF13" s="97">
        <f t="shared" si="8"/>
        <v>82.835000000000008</v>
      </c>
      <c r="AG13" s="97">
        <f t="shared" si="8"/>
        <v>86.412999999999997</v>
      </c>
      <c r="AH13" s="133">
        <f t="shared" si="2"/>
        <v>1.0431943019255145</v>
      </c>
      <c r="AJ13" s="19"/>
      <c r="AK13" s="18"/>
    </row>
    <row r="14" spans="1:39" s="53" customFormat="1" ht="14.25" customHeight="1" x14ac:dyDescent="0.3">
      <c r="A14" s="113" t="s">
        <v>37</v>
      </c>
      <c r="B14" s="82">
        <v>29.597999999999999</v>
      </c>
      <c r="C14" s="98">
        <v>0.33</v>
      </c>
      <c r="D14" s="99">
        <v>0.4</v>
      </c>
      <c r="E14" s="100">
        <v>1.21</v>
      </c>
      <c r="F14" s="100">
        <v>1.23</v>
      </c>
      <c r="G14" s="89">
        <v>2.17</v>
      </c>
      <c r="H14" s="99">
        <v>2.2999999999999998</v>
      </c>
      <c r="I14" s="90">
        <v>4</v>
      </c>
      <c r="J14" s="90">
        <v>3.78</v>
      </c>
      <c r="K14" s="90">
        <v>3.9359999999999999</v>
      </c>
      <c r="L14" s="90">
        <v>5.4189999999999996</v>
      </c>
      <c r="M14" s="90">
        <v>5.6230000000000002</v>
      </c>
      <c r="N14" s="92">
        <v>6.14</v>
      </c>
      <c r="O14" s="90">
        <v>7.0419999999999998</v>
      </c>
      <c r="P14" s="90">
        <v>8.1419999999999995</v>
      </c>
      <c r="Q14" s="90">
        <v>6.5039999999999996</v>
      </c>
      <c r="R14" s="90">
        <v>7.4320000000000004</v>
      </c>
      <c r="S14" s="90">
        <v>8.7240000000000002</v>
      </c>
      <c r="T14" s="90">
        <v>7.6769999999999996</v>
      </c>
      <c r="U14" s="90">
        <v>8.4930000000000003</v>
      </c>
      <c r="V14" s="90">
        <v>8.0760000000000005</v>
      </c>
      <c r="W14" s="90">
        <v>8.65</v>
      </c>
      <c r="X14" s="90">
        <v>9.8699999999999992</v>
      </c>
      <c r="Y14" s="90">
        <v>11.145</v>
      </c>
      <c r="Z14" s="90">
        <v>12.436999999999999</v>
      </c>
      <c r="AA14" s="90">
        <v>11.532</v>
      </c>
      <c r="AB14" s="90">
        <v>12.645</v>
      </c>
      <c r="AC14" s="90">
        <v>14.903</v>
      </c>
      <c r="AD14" s="127">
        <v>15.989000000000001</v>
      </c>
      <c r="AE14" s="127">
        <v>17.042999999999999</v>
      </c>
      <c r="AF14" s="127">
        <v>16.077000000000002</v>
      </c>
      <c r="AG14" s="127">
        <v>15.692</v>
      </c>
      <c r="AH14" s="134">
        <f t="shared" si="2"/>
        <v>0.9760527461591092</v>
      </c>
      <c r="AJ14" s="80"/>
      <c r="AK14" s="81"/>
    </row>
    <row r="15" spans="1:39" ht="14.25" customHeight="1" x14ac:dyDescent="0.3">
      <c r="A15" s="114" t="s">
        <v>31</v>
      </c>
      <c r="B15" s="75"/>
      <c r="C15" s="93">
        <f t="shared" ref="C15:AG15" si="9">SUM(C13:C14)</f>
        <v>1.7100000000000002</v>
      </c>
      <c r="D15" s="94">
        <f t="shared" si="9"/>
        <v>3.1999999999999997</v>
      </c>
      <c r="E15" s="95">
        <f t="shared" si="9"/>
        <v>4.62</v>
      </c>
      <c r="F15" s="95">
        <f t="shared" si="9"/>
        <v>6.870000000000001</v>
      </c>
      <c r="G15" s="96">
        <f t="shared" si="9"/>
        <v>10.729999999999999</v>
      </c>
      <c r="H15" s="94">
        <f t="shared" si="9"/>
        <v>13.259999999999998</v>
      </c>
      <c r="I15" s="94">
        <f t="shared" si="9"/>
        <v>18.18</v>
      </c>
      <c r="J15" s="97">
        <f t="shared" si="9"/>
        <v>21.125</v>
      </c>
      <c r="K15" s="97">
        <f t="shared" si="9"/>
        <v>23.991999999999997</v>
      </c>
      <c r="L15" s="97">
        <f t="shared" si="9"/>
        <v>29.759999999999998</v>
      </c>
      <c r="M15" s="97">
        <f t="shared" si="9"/>
        <v>33.456000000000003</v>
      </c>
      <c r="N15" s="97">
        <f t="shared" si="9"/>
        <v>34.79</v>
      </c>
      <c r="O15" s="97">
        <f t="shared" si="9"/>
        <v>37.931000000000004</v>
      </c>
      <c r="P15" s="97">
        <f t="shared" si="9"/>
        <v>40.822999999999993</v>
      </c>
      <c r="Q15" s="97">
        <f t="shared" si="9"/>
        <v>42.286999999999999</v>
      </c>
      <c r="R15" s="97">
        <f t="shared" si="9"/>
        <v>43.151000000000003</v>
      </c>
      <c r="S15" s="107">
        <f t="shared" si="9"/>
        <v>47.224000000000004</v>
      </c>
      <c r="T15" s="107">
        <f t="shared" si="9"/>
        <v>45.958999999999996</v>
      </c>
      <c r="U15" s="107">
        <f t="shared" si="9"/>
        <v>51.273000000000003</v>
      </c>
      <c r="V15" s="97">
        <f t="shared" si="9"/>
        <v>51.32</v>
      </c>
      <c r="W15" s="97">
        <f t="shared" si="9"/>
        <v>52.658999999999999</v>
      </c>
      <c r="X15" s="97">
        <f t="shared" si="9"/>
        <v>56.116999999999997</v>
      </c>
      <c r="Y15" s="97">
        <f t="shared" si="9"/>
        <v>65.146000000000001</v>
      </c>
      <c r="Z15" s="97">
        <f t="shared" si="9"/>
        <v>67.141000000000005</v>
      </c>
      <c r="AA15" s="97">
        <f t="shared" si="9"/>
        <v>73.790000000000006</v>
      </c>
      <c r="AB15" s="97">
        <f t="shared" si="9"/>
        <v>83.389999999999986</v>
      </c>
      <c r="AC15" s="97">
        <f t="shared" si="9"/>
        <v>90.796999999999997</v>
      </c>
      <c r="AD15" s="97">
        <f t="shared" si="9"/>
        <v>96.793999999999997</v>
      </c>
      <c r="AE15" s="97">
        <f t="shared" si="9"/>
        <v>105.51399999999998</v>
      </c>
      <c r="AF15" s="97">
        <f t="shared" si="9"/>
        <v>98.912000000000006</v>
      </c>
      <c r="AG15" s="97">
        <f t="shared" si="9"/>
        <v>102.10499999999999</v>
      </c>
      <c r="AH15" s="133">
        <f t="shared" si="2"/>
        <v>1.0322812196700095</v>
      </c>
      <c r="AJ15" s="19"/>
      <c r="AK15" s="18"/>
    </row>
    <row r="16" spans="1:39" s="53" customFormat="1" ht="14.25" customHeight="1" x14ac:dyDescent="0.3">
      <c r="A16" s="113" t="s">
        <v>36</v>
      </c>
      <c r="B16" s="83">
        <v>30.734999999999999</v>
      </c>
      <c r="C16" s="98">
        <v>0.38</v>
      </c>
      <c r="D16" s="99">
        <v>0.33</v>
      </c>
      <c r="E16" s="100">
        <v>1.07</v>
      </c>
      <c r="F16" s="100">
        <v>1.36</v>
      </c>
      <c r="G16" s="89">
        <v>1.79</v>
      </c>
      <c r="H16" s="99">
        <v>2.3199999999999998</v>
      </c>
      <c r="I16" s="90">
        <v>3.07</v>
      </c>
      <c r="J16" s="90">
        <v>3.37</v>
      </c>
      <c r="K16" s="90">
        <v>4.41</v>
      </c>
      <c r="L16" s="90">
        <v>5.6790000000000003</v>
      </c>
      <c r="M16" s="90">
        <v>5.4880000000000004</v>
      </c>
      <c r="N16" s="92">
        <v>5.57</v>
      </c>
      <c r="O16" s="90">
        <v>5.6319999999999997</v>
      </c>
      <c r="P16" s="90">
        <v>6.1619999999999999</v>
      </c>
      <c r="Q16" s="90">
        <v>6.7329999999999997</v>
      </c>
      <c r="R16" s="90">
        <v>7.8250000000000002</v>
      </c>
      <c r="S16" s="90">
        <v>7.3559999999999999</v>
      </c>
      <c r="T16" s="90">
        <v>6.7561999999999998</v>
      </c>
      <c r="U16" s="90">
        <v>7.4649999999999999</v>
      </c>
      <c r="V16" s="90">
        <v>8.3800000000000008</v>
      </c>
      <c r="W16" s="90">
        <v>9.1479999999999997</v>
      </c>
      <c r="X16" s="90">
        <v>9.73</v>
      </c>
      <c r="Y16" s="90">
        <v>9.3870000000000005</v>
      </c>
      <c r="Z16" s="90">
        <v>10.567</v>
      </c>
      <c r="AA16" s="90">
        <v>11.638</v>
      </c>
      <c r="AB16" s="90">
        <v>14.226000000000001</v>
      </c>
      <c r="AC16" s="90">
        <v>15.443</v>
      </c>
      <c r="AD16" s="127">
        <v>16.417000000000002</v>
      </c>
      <c r="AE16" s="127">
        <v>16.469000000000001</v>
      </c>
      <c r="AF16" s="127">
        <v>15.903</v>
      </c>
      <c r="AG16" s="127"/>
      <c r="AH16" s="134">
        <f t="shared" si="2"/>
        <v>0</v>
      </c>
      <c r="AJ16" s="80"/>
      <c r="AK16" s="81"/>
    </row>
    <row r="17" spans="1:40" ht="14.25" customHeight="1" x14ac:dyDescent="0.3">
      <c r="A17" s="114" t="s">
        <v>31</v>
      </c>
      <c r="B17" s="76">
        <f>SUM(B16)</f>
        <v>30.734999999999999</v>
      </c>
      <c r="C17" s="93">
        <f>SUM(C15:C16)</f>
        <v>2.0900000000000003</v>
      </c>
      <c r="D17" s="94">
        <f>SUM(D15:D16)</f>
        <v>3.53</v>
      </c>
      <c r="E17" s="95">
        <f>SUM(E15:E16)</f>
        <v>5.69</v>
      </c>
      <c r="F17" s="95">
        <f>0+(SUM(F15:F16))</f>
        <v>8.23</v>
      </c>
      <c r="G17" s="96">
        <f t="shared" ref="G17:AF17" si="10">SUM(G15:G16)</f>
        <v>12.52</v>
      </c>
      <c r="H17" s="94">
        <f t="shared" si="10"/>
        <v>15.579999999999998</v>
      </c>
      <c r="I17" s="94">
        <f t="shared" si="10"/>
        <v>21.25</v>
      </c>
      <c r="J17" s="97">
        <f t="shared" si="10"/>
        <v>24.495000000000001</v>
      </c>
      <c r="K17" s="97">
        <f t="shared" si="10"/>
        <v>28.401999999999997</v>
      </c>
      <c r="L17" s="97">
        <f t="shared" si="10"/>
        <v>35.439</v>
      </c>
      <c r="M17" s="97">
        <f t="shared" si="10"/>
        <v>38.944000000000003</v>
      </c>
      <c r="N17" s="97">
        <f t="shared" si="10"/>
        <v>40.36</v>
      </c>
      <c r="O17" s="97">
        <f t="shared" si="10"/>
        <v>43.563000000000002</v>
      </c>
      <c r="P17" s="97">
        <f t="shared" si="10"/>
        <v>46.984999999999992</v>
      </c>
      <c r="Q17" s="97">
        <f t="shared" si="10"/>
        <v>49.019999999999996</v>
      </c>
      <c r="R17" s="97">
        <f t="shared" si="10"/>
        <v>50.976000000000006</v>
      </c>
      <c r="S17" s="97">
        <f t="shared" si="10"/>
        <v>54.580000000000005</v>
      </c>
      <c r="T17" s="97">
        <f t="shared" si="10"/>
        <v>52.715199999999996</v>
      </c>
      <c r="U17" s="107">
        <f t="shared" si="10"/>
        <v>58.738</v>
      </c>
      <c r="V17" s="97">
        <f t="shared" si="10"/>
        <v>59.7</v>
      </c>
      <c r="W17" s="97">
        <f t="shared" si="10"/>
        <v>61.807000000000002</v>
      </c>
      <c r="X17" s="97">
        <f t="shared" si="10"/>
        <v>65.846999999999994</v>
      </c>
      <c r="Y17" s="97">
        <f t="shared" si="10"/>
        <v>74.533000000000001</v>
      </c>
      <c r="Z17" s="97">
        <f t="shared" si="10"/>
        <v>77.707999999999998</v>
      </c>
      <c r="AA17" s="97">
        <f t="shared" si="10"/>
        <v>85.428000000000011</v>
      </c>
      <c r="AB17" s="97">
        <f t="shared" si="10"/>
        <v>97.615999999999985</v>
      </c>
      <c r="AC17" s="97">
        <f t="shared" si="10"/>
        <v>106.24</v>
      </c>
      <c r="AD17" s="97">
        <f t="shared" si="10"/>
        <v>113.211</v>
      </c>
      <c r="AE17" s="97">
        <f t="shared" si="10"/>
        <v>121.98299999999998</v>
      </c>
      <c r="AF17" s="97">
        <f t="shared" si="10"/>
        <v>114.81500000000001</v>
      </c>
      <c r="AG17" s="97"/>
      <c r="AH17" s="133">
        <f t="shared" si="2"/>
        <v>0</v>
      </c>
      <c r="AJ17" s="19"/>
      <c r="AK17" s="18"/>
    </row>
    <row r="18" spans="1:40" s="53" customFormat="1" ht="14.25" customHeight="1" x14ac:dyDescent="0.3">
      <c r="A18" s="113" t="s">
        <v>35</v>
      </c>
      <c r="B18" s="83">
        <v>30.13</v>
      </c>
      <c r="C18" s="98">
        <v>0.51</v>
      </c>
      <c r="D18" s="99">
        <v>0.45</v>
      </c>
      <c r="E18" s="100">
        <v>1.04</v>
      </c>
      <c r="F18" s="100">
        <v>1.21</v>
      </c>
      <c r="G18" s="89">
        <v>1.56</v>
      </c>
      <c r="H18" s="99">
        <v>1.97</v>
      </c>
      <c r="I18" s="90">
        <v>3.39</v>
      </c>
      <c r="J18" s="90">
        <v>3.63</v>
      </c>
      <c r="K18" s="90">
        <v>4.1790000000000003</v>
      </c>
      <c r="L18" s="90">
        <v>4.4619999999999997</v>
      </c>
      <c r="M18" s="90">
        <v>4.6315410000000004</v>
      </c>
      <c r="N18" s="92">
        <v>6.25</v>
      </c>
      <c r="O18" s="90">
        <v>5.5650000000000004</v>
      </c>
      <c r="P18" s="90">
        <v>7.0609999999999999</v>
      </c>
      <c r="Q18" s="90">
        <v>6.3150000000000004</v>
      </c>
      <c r="R18" s="90">
        <v>6.6760000000000002</v>
      </c>
      <c r="S18" s="90">
        <v>7.4649999999999999</v>
      </c>
      <c r="T18" s="90">
        <v>7.0410000000000004</v>
      </c>
      <c r="U18" s="90">
        <v>8.69</v>
      </c>
      <c r="V18" s="90">
        <v>7.8609999999999998</v>
      </c>
      <c r="W18" s="90">
        <v>7.8369999999999997</v>
      </c>
      <c r="X18" s="90">
        <v>9.0050000000000008</v>
      </c>
      <c r="Y18" s="90">
        <v>9.6679999999999993</v>
      </c>
      <c r="Z18" s="90">
        <v>11.375999999999999</v>
      </c>
      <c r="AA18" s="90">
        <v>12.62</v>
      </c>
      <c r="AB18" s="90">
        <v>13.128</v>
      </c>
      <c r="AC18" s="90">
        <v>14.154999999999999</v>
      </c>
      <c r="AD18" s="127">
        <v>15.18</v>
      </c>
      <c r="AE18" s="127">
        <v>16.07</v>
      </c>
      <c r="AF18" s="127">
        <v>15.637</v>
      </c>
      <c r="AG18" s="127"/>
      <c r="AH18" s="134">
        <f t="shared" si="2"/>
        <v>0</v>
      </c>
      <c r="AJ18" s="80"/>
      <c r="AK18" s="81"/>
      <c r="AL18" s="81"/>
      <c r="AM18" s="81"/>
    </row>
    <row r="19" spans="1:40" ht="14.25" customHeight="1" x14ac:dyDescent="0.3">
      <c r="A19" s="114" t="s">
        <v>31</v>
      </c>
      <c r="B19" s="76">
        <f>SUM(B17:B18)</f>
        <v>60.864999999999995</v>
      </c>
      <c r="C19" s="93">
        <f>SUM(C17:C18)</f>
        <v>2.6000000000000005</v>
      </c>
      <c r="D19" s="94">
        <f>SUM(D17:D18)</f>
        <v>3.98</v>
      </c>
      <c r="E19" s="95">
        <f>SUM(E17:E18)</f>
        <v>6.73</v>
      </c>
      <c r="F19" s="95">
        <f>0+(SUM(F17:F18))</f>
        <v>9.4400000000000013</v>
      </c>
      <c r="G19" s="96">
        <f t="shared" ref="G19:AF19" si="11">SUM(G17:G18)</f>
        <v>14.08</v>
      </c>
      <c r="H19" s="94">
        <f t="shared" si="11"/>
        <v>17.549999999999997</v>
      </c>
      <c r="I19" s="94">
        <f t="shared" si="11"/>
        <v>24.64</v>
      </c>
      <c r="J19" s="97">
        <f t="shared" si="11"/>
        <v>28.125</v>
      </c>
      <c r="K19" s="97">
        <f t="shared" si="11"/>
        <v>32.580999999999996</v>
      </c>
      <c r="L19" s="97">
        <f t="shared" si="11"/>
        <v>39.900999999999996</v>
      </c>
      <c r="M19" s="97">
        <f t="shared" si="11"/>
        <v>43.575541000000001</v>
      </c>
      <c r="N19" s="97">
        <f t="shared" si="11"/>
        <v>46.61</v>
      </c>
      <c r="O19" s="97">
        <f t="shared" si="11"/>
        <v>49.128</v>
      </c>
      <c r="P19" s="97">
        <f t="shared" si="11"/>
        <v>54.045999999999992</v>
      </c>
      <c r="Q19" s="97">
        <f t="shared" si="11"/>
        <v>55.334999999999994</v>
      </c>
      <c r="R19" s="97">
        <f t="shared" si="11"/>
        <v>57.652000000000008</v>
      </c>
      <c r="S19" s="97">
        <f t="shared" si="11"/>
        <v>62.045000000000002</v>
      </c>
      <c r="T19" s="97">
        <f t="shared" si="11"/>
        <v>59.756199999999993</v>
      </c>
      <c r="U19" s="107">
        <f t="shared" si="11"/>
        <v>67.427999999999997</v>
      </c>
      <c r="V19" s="97">
        <f t="shared" si="11"/>
        <v>67.561000000000007</v>
      </c>
      <c r="W19" s="97">
        <f t="shared" si="11"/>
        <v>69.644000000000005</v>
      </c>
      <c r="X19" s="97">
        <f t="shared" si="11"/>
        <v>74.85199999999999</v>
      </c>
      <c r="Y19" s="97">
        <f t="shared" si="11"/>
        <v>84.200999999999993</v>
      </c>
      <c r="Z19" s="97">
        <f t="shared" si="11"/>
        <v>89.084000000000003</v>
      </c>
      <c r="AA19" s="97">
        <f t="shared" si="11"/>
        <v>98.048000000000016</v>
      </c>
      <c r="AB19" s="97">
        <f t="shared" si="11"/>
        <v>110.74399999999999</v>
      </c>
      <c r="AC19" s="97">
        <f t="shared" si="11"/>
        <v>120.395</v>
      </c>
      <c r="AD19" s="97">
        <f t="shared" si="11"/>
        <v>128.39099999999999</v>
      </c>
      <c r="AE19" s="97">
        <f t="shared" si="11"/>
        <v>138.05299999999997</v>
      </c>
      <c r="AF19" s="97">
        <f t="shared" si="11"/>
        <v>130.452</v>
      </c>
      <c r="AG19" s="97"/>
      <c r="AH19" s="133">
        <f t="shared" si="2"/>
        <v>0</v>
      </c>
      <c r="AJ19" s="19"/>
      <c r="AK19" s="18"/>
      <c r="AL19" s="18"/>
      <c r="AM19" s="18"/>
      <c r="AN19" s="2"/>
    </row>
    <row r="20" spans="1:40" s="53" customFormat="1" ht="14.25" customHeight="1" x14ac:dyDescent="0.3">
      <c r="A20" s="113" t="s">
        <v>34</v>
      </c>
      <c r="B20" s="83">
        <v>28.919</v>
      </c>
      <c r="C20" s="98">
        <v>0.32</v>
      </c>
      <c r="D20" s="99">
        <v>0.42</v>
      </c>
      <c r="E20" s="100">
        <v>1.04</v>
      </c>
      <c r="F20" s="100">
        <v>1.48</v>
      </c>
      <c r="G20" s="89">
        <v>2.46</v>
      </c>
      <c r="H20" s="99">
        <v>1.96</v>
      </c>
      <c r="I20" s="90">
        <v>3.14</v>
      </c>
      <c r="J20" s="90">
        <v>3.43</v>
      </c>
      <c r="K20" s="90">
        <v>3.8479999999999999</v>
      </c>
      <c r="L20" s="90">
        <v>4.5049999999999999</v>
      </c>
      <c r="M20" s="90">
        <v>4.2300000000000004</v>
      </c>
      <c r="N20" s="92">
        <v>6.22</v>
      </c>
      <c r="O20" s="90">
        <v>5.2549999999999999</v>
      </c>
      <c r="P20" s="90">
        <v>5.5039999999999996</v>
      </c>
      <c r="Q20" s="90">
        <v>6.1710000000000003</v>
      </c>
      <c r="R20" s="90">
        <v>6.085</v>
      </c>
      <c r="S20" s="90">
        <v>8.0980000000000008</v>
      </c>
      <c r="T20" s="90">
        <v>6.72</v>
      </c>
      <c r="U20" s="90">
        <v>7.1909999999999998</v>
      </c>
      <c r="V20" s="90">
        <v>7.798</v>
      </c>
      <c r="W20" s="90">
        <v>7.9240000000000004</v>
      </c>
      <c r="X20" s="90">
        <v>8.9169999999999998</v>
      </c>
      <c r="Y20" s="90">
        <v>9.3010000000000002</v>
      </c>
      <c r="Z20" s="90">
        <v>10.57</v>
      </c>
      <c r="AA20" s="90">
        <v>11.013</v>
      </c>
      <c r="AB20" s="90">
        <v>11.89</v>
      </c>
      <c r="AC20" s="90">
        <v>14.669</v>
      </c>
      <c r="AD20" s="127">
        <v>15.935</v>
      </c>
      <c r="AE20" s="127">
        <v>17.14</v>
      </c>
      <c r="AF20" s="127">
        <v>15.811</v>
      </c>
      <c r="AG20" s="127"/>
      <c r="AH20" s="134">
        <f t="shared" si="2"/>
        <v>0</v>
      </c>
      <c r="AJ20" s="80"/>
      <c r="AK20" s="81"/>
      <c r="AL20" s="81"/>
      <c r="AM20" s="81"/>
    </row>
    <row r="21" spans="1:40" ht="14.25" customHeight="1" x14ac:dyDescent="0.3">
      <c r="A21" s="114" t="s">
        <v>31</v>
      </c>
      <c r="B21" s="76">
        <f t="shared" ref="B21:AF21" si="12">SUM(B19:B20)</f>
        <v>89.783999999999992</v>
      </c>
      <c r="C21" s="93">
        <f t="shared" si="12"/>
        <v>2.9200000000000004</v>
      </c>
      <c r="D21" s="94">
        <f t="shared" si="12"/>
        <v>4.4000000000000004</v>
      </c>
      <c r="E21" s="95">
        <f t="shared" si="12"/>
        <v>7.7700000000000005</v>
      </c>
      <c r="F21" s="95">
        <f t="shared" si="12"/>
        <v>10.920000000000002</v>
      </c>
      <c r="G21" s="96">
        <f t="shared" si="12"/>
        <v>16.54</v>
      </c>
      <c r="H21" s="94">
        <f t="shared" si="12"/>
        <v>19.509999999999998</v>
      </c>
      <c r="I21" s="94">
        <f t="shared" si="12"/>
        <v>27.78</v>
      </c>
      <c r="J21" s="97">
        <f t="shared" si="12"/>
        <v>31.555</v>
      </c>
      <c r="K21" s="97">
        <f t="shared" si="12"/>
        <v>36.428999999999995</v>
      </c>
      <c r="L21" s="97">
        <f t="shared" si="12"/>
        <v>44.405999999999999</v>
      </c>
      <c r="M21" s="97">
        <f t="shared" si="12"/>
        <v>47.805541000000005</v>
      </c>
      <c r="N21" s="97">
        <f t="shared" si="12"/>
        <v>52.83</v>
      </c>
      <c r="O21" s="97">
        <f t="shared" si="12"/>
        <v>54.383000000000003</v>
      </c>
      <c r="P21" s="97">
        <f t="shared" si="12"/>
        <v>59.54999999999999</v>
      </c>
      <c r="Q21" s="97">
        <f t="shared" si="12"/>
        <v>61.505999999999993</v>
      </c>
      <c r="R21" s="97">
        <f t="shared" si="12"/>
        <v>63.737000000000009</v>
      </c>
      <c r="S21" s="97">
        <f t="shared" si="12"/>
        <v>70.143000000000001</v>
      </c>
      <c r="T21" s="97">
        <f t="shared" si="12"/>
        <v>66.476199999999992</v>
      </c>
      <c r="U21" s="107">
        <f t="shared" si="12"/>
        <v>74.619</v>
      </c>
      <c r="V21" s="97">
        <f t="shared" si="12"/>
        <v>75.359000000000009</v>
      </c>
      <c r="W21" s="97">
        <f t="shared" si="12"/>
        <v>77.568000000000012</v>
      </c>
      <c r="X21" s="97">
        <f t="shared" si="12"/>
        <v>83.768999999999991</v>
      </c>
      <c r="Y21" s="97">
        <f t="shared" si="12"/>
        <v>93.501999999999995</v>
      </c>
      <c r="Z21" s="97">
        <f t="shared" si="12"/>
        <v>99.653999999999996</v>
      </c>
      <c r="AA21" s="97">
        <f t="shared" si="12"/>
        <v>109.06100000000002</v>
      </c>
      <c r="AB21" s="97">
        <f t="shared" si="12"/>
        <v>122.63399999999999</v>
      </c>
      <c r="AC21" s="97">
        <f t="shared" si="12"/>
        <v>135.06399999999999</v>
      </c>
      <c r="AD21" s="97">
        <f t="shared" si="12"/>
        <v>144.32599999999999</v>
      </c>
      <c r="AE21" s="97">
        <f t="shared" si="12"/>
        <v>155.19299999999998</v>
      </c>
      <c r="AF21" s="97">
        <f t="shared" si="12"/>
        <v>146.26300000000001</v>
      </c>
      <c r="AG21" s="97"/>
      <c r="AH21" s="133">
        <f t="shared" si="2"/>
        <v>0</v>
      </c>
      <c r="AJ21" s="19"/>
      <c r="AK21" s="18"/>
      <c r="AL21" s="18"/>
      <c r="AM21" s="18"/>
    </row>
    <row r="22" spans="1:40" s="53" customFormat="1" ht="14.25" customHeight="1" x14ac:dyDescent="0.3">
      <c r="A22" s="113" t="s">
        <v>33</v>
      </c>
      <c r="B22" s="83">
        <v>31.588000000000001</v>
      </c>
      <c r="C22" s="98">
        <v>0.27</v>
      </c>
      <c r="D22" s="99">
        <v>0.37</v>
      </c>
      <c r="E22" s="100">
        <v>0.68</v>
      </c>
      <c r="F22" s="100">
        <v>1.54</v>
      </c>
      <c r="G22" s="89">
        <v>1.99</v>
      </c>
      <c r="H22" s="99">
        <v>1.87</v>
      </c>
      <c r="I22" s="90">
        <v>3.407</v>
      </c>
      <c r="J22" s="90">
        <v>3.9</v>
      </c>
      <c r="K22" s="90">
        <v>4.8239999999999998</v>
      </c>
      <c r="L22" s="90">
        <v>5.2409999999999997</v>
      </c>
      <c r="M22" s="90">
        <v>4.42</v>
      </c>
      <c r="N22" s="92">
        <v>5.21</v>
      </c>
      <c r="O22" s="90">
        <v>5.5620000000000003</v>
      </c>
      <c r="P22" s="90">
        <v>6.8460000000000001</v>
      </c>
      <c r="Q22" s="90">
        <v>7.5780000000000003</v>
      </c>
      <c r="R22" s="90">
        <v>6.4740000000000002</v>
      </c>
      <c r="S22" s="90">
        <v>7.1609999999999996</v>
      </c>
      <c r="T22" s="90">
        <v>6.8630000000000004</v>
      </c>
      <c r="U22" s="90">
        <v>8.6829999999999998</v>
      </c>
      <c r="V22" s="90">
        <v>8.2970000000000006</v>
      </c>
      <c r="W22" s="90">
        <v>8.4280000000000008</v>
      </c>
      <c r="X22" s="90">
        <v>9.0310000000000006</v>
      </c>
      <c r="Y22" s="90">
        <v>9.5890000000000004</v>
      </c>
      <c r="Z22" s="90">
        <v>11.74</v>
      </c>
      <c r="AA22" s="90">
        <v>13.93</v>
      </c>
      <c r="AB22" s="90">
        <v>14.236000000000001</v>
      </c>
      <c r="AC22" s="90">
        <v>15.324</v>
      </c>
      <c r="AD22" s="127">
        <v>16.911999999999999</v>
      </c>
      <c r="AE22" s="127">
        <v>16.079000000000001</v>
      </c>
      <c r="AF22" s="127">
        <v>16.433</v>
      </c>
      <c r="AG22" s="127"/>
      <c r="AH22" s="134">
        <f t="shared" si="2"/>
        <v>0</v>
      </c>
      <c r="AJ22" s="80"/>
      <c r="AK22" s="81"/>
      <c r="AL22" s="81"/>
      <c r="AM22" s="81"/>
    </row>
    <row r="23" spans="1:40" ht="14.25" customHeight="1" x14ac:dyDescent="0.3">
      <c r="A23" s="114" t="s">
        <v>31</v>
      </c>
      <c r="B23" s="76">
        <f t="shared" ref="B23:AF23" si="13">SUM(B21:B22)</f>
        <v>121.37199999999999</v>
      </c>
      <c r="C23" s="93">
        <f t="shared" si="13"/>
        <v>3.1900000000000004</v>
      </c>
      <c r="D23" s="94">
        <f t="shared" si="13"/>
        <v>4.7700000000000005</v>
      </c>
      <c r="E23" s="95">
        <f t="shared" si="13"/>
        <v>8.4500000000000011</v>
      </c>
      <c r="F23" s="95">
        <f t="shared" si="13"/>
        <v>12.46</v>
      </c>
      <c r="G23" s="96">
        <f t="shared" si="13"/>
        <v>18.529999999999998</v>
      </c>
      <c r="H23" s="94">
        <f t="shared" si="13"/>
        <v>21.38</v>
      </c>
      <c r="I23" s="94">
        <f t="shared" si="13"/>
        <v>31.187000000000001</v>
      </c>
      <c r="J23" s="94">
        <f t="shared" si="13"/>
        <v>35.454999999999998</v>
      </c>
      <c r="K23" s="94">
        <f t="shared" si="13"/>
        <v>41.252999999999993</v>
      </c>
      <c r="L23" s="94">
        <f t="shared" si="13"/>
        <v>49.646999999999998</v>
      </c>
      <c r="M23" s="94">
        <f t="shared" si="13"/>
        <v>52.225541000000007</v>
      </c>
      <c r="N23" s="94">
        <f t="shared" si="13"/>
        <v>58.04</v>
      </c>
      <c r="O23" s="94">
        <f t="shared" si="13"/>
        <v>59.945</v>
      </c>
      <c r="P23" s="94">
        <f t="shared" si="13"/>
        <v>66.395999999999987</v>
      </c>
      <c r="Q23" s="94">
        <f t="shared" si="13"/>
        <v>69.083999999999989</v>
      </c>
      <c r="R23" s="94">
        <f t="shared" si="13"/>
        <v>70.211000000000013</v>
      </c>
      <c r="S23" s="94">
        <f t="shared" si="13"/>
        <v>77.304000000000002</v>
      </c>
      <c r="T23" s="94">
        <f t="shared" si="13"/>
        <v>73.339199999999991</v>
      </c>
      <c r="U23" s="107">
        <f t="shared" si="13"/>
        <v>83.301999999999992</v>
      </c>
      <c r="V23" s="97">
        <f t="shared" si="13"/>
        <v>83.656000000000006</v>
      </c>
      <c r="W23" s="97">
        <f t="shared" si="13"/>
        <v>85.996000000000009</v>
      </c>
      <c r="X23" s="97">
        <f t="shared" si="13"/>
        <v>92.8</v>
      </c>
      <c r="Y23" s="97">
        <f t="shared" si="13"/>
        <v>103.09099999999999</v>
      </c>
      <c r="Z23" s="97">
        <f t="shared" si="13"/>
        <v>111.39399999999999</v>
      </c>
      <c r="AA23" s="97">
        <f t="shared" si="13"/>
        <v>122.99100000000001</v>
      </c>
      <c r="AB23" s="97">
        <f t="shared" si="13"/>
        <v>136.86999999999998</v>
      </c>
      <c r="AC23" s="97">
        <f t="shared" si="13"/>
        <v>150.38800000000001</v>
      </c>
      <c r="AD23" s="97">
        <f t="shared" si="13"/>
        <v>161.238</v>
      </c>
      <c r="AE23" s="97">
        <f t="shared" si="13"/>
        <v>171.27199999999999</v>
      </c>
      <c r="AF23" s="97">
        <f t="shared" si="13"/>
        <v>162.696</v>
      </c>
      <c r="AG23" s="97"/>
      <c r="AH23" s="133">
        <f t="shared" si="2"/>
        <v>0</v>
      </c>
      <c r="AJ23" s="19"/>
      <c r="AK23" s="3"/>
      <c r="AL23" s="18"/>
      <c r="AM23" s="18"/>
    </row>
    <row r="24" spans="1:40" s="53" customFormat="1" ht="14.25" customHeight="1" x14ac:dyDescent="0.3">
      <c r="A24" s="113" t="s">
        <v>32</v>
      </c>
      <c r="B24" s="83">
        <v>30.951000000000001</v>
      </c>
      <c r="C24" s="98">
        <v>0.42</v>
      </c>
      <c r="D24" s="99">
        <v>0.46</v>
      </c>
      <c r="E24" s="100">
        <v>0.63</v>
      </c>
      <c r="F24" s="100">
        <v>1.31</v>
      </c>
      <c r="G24" s="89">
        <v>2.15</v>
      </c>
      <c r="H24" s="99">
        <v>2.15</v>
      </c>
      <c r="I24" s="90">
        <v>3.3809999999999998</v>
      </c>
      <c r="J24" s="90">
        <v>3.9</v>
      </c>
      <c r="K24" s="90">
        <v>4.0389999999999997</v>
      </c>
      <c r="L24" s="90">
        <v>4.4809999999999999</v>
      </c>
      <c r="M24" s="90">
        <v>5.53</v>
      </c>
      <c r="N24" s="92">
        <v>6.82</v>
      </c>
      <c r="O24" s="90">
        <v>6.6020000000000003</v>
      </c>
      <c r="P24" s="90">
        <v>6.9420000000000002</v>
      </c>
      <c r="Q24" s="90">
        <v>6.37</v>
      </c>
      <c r="R24" s="90">
        <v>6.9180000000000001</v>
      </c>
      <c r="S24" s="90">
        <v>7.1829999999999998</v>
      </c>
      <c r="T24" s="90">
        <v>7.4450000000000003</v>
      </c>
      <c r="U24" s="90">
        <v>8.3000000000000007</v>
      </c>
      <c r="V24" s="90">
        <v>7.9119999999999999</v>
      </c>
      <c r="W24" s="90">
        <v>7.37</v>
      </c>
      <c r="X24" s="90">
        <v>9.3949999999999996</v>
      </c>
      <c r="Y24" s="90">
        <v>11.058</v>
      </c>
      <c r="Z24" s="90">
        <v>12.465999999999999</v>
      </c>
      <c r="AA24" s="90">
        <v>13.898999999999999</v>
      </c>
      <c r="AB24" s="90">
        <v>14.340999999999999</v>
      </c>
      <c r="AC24" s="90">
        <v>14.396000000000001</v>
      </c>
      <c r="AD24" s="127">
        <v>17.532</v>
      </c>
      <c r="AE24" s="127">
        <v>16.733000000000001</v>
      </c>
      <c r="AF24" s="127">
        <v>16.495999999999999</v>
      </c>
      <c r="AG24" s="127"/>
      <c r="AH24" s="134">
        <f t="shared" si="2"/>
        <v>0</v>
      </c>
      <c r="AJ24" s="80"/>
      <c r="AK24" s="81"/>
      <c r="AL24" s="81"/>
      <c r="AM24" s="81"/>
    </row>
    <row r="25" spans="1:40" ht="14.25" customHeight="1" x14ac:dyDescent="0.3">
      <c r="A25" s="114" t="s">
        <v>31</v>
      </c>
      <c r="B25" s="76">
        <f t="shared" ref="B25:AF25" si="14">SUM(B23:B24)</f>
        <v>152.32299999999998</v>
      </c>
      <c r="C25" s="93">
        <f t="shared" si="14"/>
        <v>3.6100000000000003</v>
      </c>
      <c r="D25" s="94">
        <f t="shared" si="14"/>
        <v>5.23</v>
      </c>
      <c r="E25" s="95">
        <f t="shared" si="14"/>
        <v>9.0800000000000018</v>
      </c>
      <c r="F25" s="95">
        <f t="shared" si="14"/>
        <v>13.770000000000001</v>
      </c>
      <c r="G25" s="96">
        <f t="shared" si="14"/>
        <v>20.679999999999996</v>
      </c>
      <c r="H25" s="94">
        <f t="shared" si="14"/>
        <v>23.529999999999998</v>
      </c>
      <c r="I25" s="94">
        <f t="shared" si="14"/>
        <v>34.567999999999998</v>
      </c>
      <c r="J25" s="94">
        <f t="shared" si="14"/>
        <v>39.354999999999997</v>
      </c>
      <c r="K25" s="94">
        <f t="shared" si="14"/>
        <v>45.291999999999994</v>
      </c>
      <c r="L25" s="94">
        <f t="shared" si="14"/>
        <v>54.128</v>
      </c>
      <c r="M25" s="94">
        <f t="shared" si="14"/>
        <v>57.755541000000008</v>
      </c>
      <c r="N25" s="94">
        <f t="shared" si="14"/>
        <v>64.86</v>
      </c>
      <c r="O25" s="94">
        <f t="shared" si="14"/>
        <v>66.546999999999997</v>
      </c>
      <c r="P25" s="94">
        <f t="shared" si="14"/>
        <v>73.337999999999994</v>
      </c>
      <c r="Q25" s="94">
        <f t="shared" si="14"/>
        <v>75.453999999999994</v>
      </c>
      <c r="R25" s="94">
        <f t="shared" si="14"/>
        <v>77.129000000000019</v>
      </c>
      <c r="S25" s="94">
        <f t="shared" si="14"/>
        <v>84.486999999999995</v>
      </c>
      <c r="T25" s="94">
        <f t="shared" si="14"/>
        <v>80.784199999999998</v>
      </c>
      <c r="U25" s="107">
        <f t="shared" si="14"/>
        <v>91.60199999999999</v>
      </c>
      <c r="V25" s="107">
        <f t="shared" si="14"/>
        <v>91.568000000000012</v>
      </c>
      <c r="W25" s="107">
        <f t="shared" si="14"/>
        <v>93.366000000000014</v>
      </c>
      <c r="X25" s="107">
        <f t="shared" si="14"/>
        <v>102.19499999999999</v>
      </c>
      <c r="Y25" s="107">
        <f t="shared" si="14"/>
        <v>114.149</v>
      </c>
      <c r="Z25" s="107">
        <f t="shared" si="14"/>
        <v>123.85999999999999</v>
      </c>
      <c r="AA25" s="107">
        <f t="shared" si="14"/>
        <v>136.89000000000001</v>
      </c>
      <c r="AB25" s="107">
        <f t="shared" si="14"/>
        <v>151.21099999999998</v>
      </c>
      <c r="AC25" s="107">
        <f t="shared" si="14"/>
        <v>164.78399999999999</v>
      </c>
      <c r="AD25" s="107">
        <f t="shared" si="14"/>
        <v>178.77</v>
      </c>
      <c r="AE25" s="107">
        <f t="shared" si="14"/>
        <v>188.005</v>
      </c>
      <c r="AF25" s="107">
        <f t="shared" si="14"/>
        <v>179.19200000000001</v>
      </c>
      <c r="AG25" s="107"/>
      <c r="AH25" s="133">
        <f t="shared" si="2"/>
        <v>0</v>
      </c>
      <c r="AJ25" s="19"/>
      <c r="AK25" s="18"/>
      <c r="AL25" s="18"/>
      <c r="AM25" s="18"/>
    </row>
    <row r="26" spans="1:40" s="53" customFormat="1" ht="14.25" customHeight="1" x14ac:dyDescent="0.3">
      <c r="A26" s="115" t="s">
        <v>30</v>
      </c>
      <c r="B26" s="85">
        <v>33.200000000000003</v>
      </c>
      <c r="C26" s="108">
        <v>0.45</v>
      </c>
      <c r="D26" s="109">
        <v>0.49</v>
      </c>
      <c r="E26" s="110">
        <v>0.86</v>
      </c>
      <c r="F26" s="110">
        <v>1.68</v>
      </c>
      <c r="G26" s="108">
        <v>2.16</v>
      </c>
      <c r="H26" s="109">
        <v>2.4300000000000002</v>
      </c>
      <c r="I26" s="111">
        <v>3.427</v>
      </c>
      <c r="J26" s="111">
        <v>4.1920000000000002</v>
      </c>
      <c r="K26" s="111">
        <v>5.6070000000000002</v>
      </c>
      <c r="L26" s="111">
        <v>5.5670000000000002</v>
      </c>
      <c r="M26" s="111">
        <v>5.9240000000000004</v>
      </c>
      <c r="N26" s="111">
        <v>6.83</v>
      </c>
      <c r="O26" s="111">
        <v>6.48</v>
      </c>
      <c r="P26" s="111">
        <v>8.2639999999999993</v>
      </c>
      <c r="Q26" s="111">
        <v>7.7279999999999998</v>
      </c>
      <c r="R26" s="111">
        <v>7.9560000000000004</v>
      </c>
      <c r="S26" s="111">
        <v>7.9009999999999998</v>
      </c>
      <c r="T26" s="111">
        <v>7.7530000000000001</v>
      </c>
      <c r="U26" s="111">
        <v>7.524</v>
      </c>
      <c r="V26" s="111">
        <v>9.3030000000000008</v>
      </c>
      <c r="W26" s="111">
        <v>9.9410000000000007</v>
      </c>
      <c r="X26" s="111">
        <v>11.965999999999999</v>
      </c>
      <c r="Y26" s="111">
        <v>11.411</v>
      </c>
      <c r="Z26" s="111">
        <v>11.647</v>
      </c>
      <c r="AA26" s="111">
        <v>12.798999999999999</v>
      </c>
      <c r="AB26" s="111">
        <v>16.576000000000001</v>
      </c>
      <c r="AC26" s="111">
        <v>16.379000000000001</v>
      </c>
      <c r="AD26" s="130">
        <v>18.013000000000002</v>
      </c>
      <c r="AE26" s="130">
        <v>17.803999999999998</v>
      </c>
      <c r="AF26" s="130">
        <v>15.779</v>
      </c>
      <c r="AG26" s="130"/>
      <c r="AH26" s="135">
        <f t="shared" si="2"/>
        <v>0</v>
      </c>
      <c r="AJ26" s="80"/>
      <c r="AK26" s="81"/>
      <c r="AL26" s="81"/>
      <c r="AM26" s="81"/>
    </row>
    <row r="27" spans="1:40" ht="24.95" customHeight="1" x14ac:dyDescent="0.2">
      <c r="A27" s="147" t="s">
        <v>29</v>
      </c>
      <c r="B27" s="203">
        <f t="shared" ref="B27:G27" si="15">SUM(B25:B26)</f>
        <v>185.52299999999997</v>
      </c>
      <c r="C27" s="162">
        <f t="shared" si="15"/>
        <v>4.0600000000000005</v>
      </c>
      <c r="D27" s="204">
        <f t="shared" si="15"/>
        <v>5.7200000000000006</v>
      </c>
      <c r="E27" s="162">
        <f t="shared" si="15"/>
        <v>9.9400000000000013</v>
      </c>
      <c r="F27" s="205">
        <f t="shared" si="15"/>
        <v>15.450000000000001</v>
      </c>
      <c r="G27" s="162">
        <f t="shared" si="15"/>
        <v>22.839999999999996</v>
      </c>
      <c r="H27" s="162">
        <f t="shared" ref="H27:AF27" si="16">H4+H6+H8+H10+H12+H14+H16+H18+H20+H22+H24+H26</f>
        <v>25.959999999999997</v>
      </c>
      <c r="I27" s="162">
        <f t="shared" si="16"/>
        <v>37.994999999999997</v>
      </c>
      <c r="J27" s="162">
        <f t="shared" si="16"/>
        <v>43.546999999999997</v>
      </c>
      <c r="K27" s="162">
        <f t="shared" si="16"/>
        <v>50.898999999999994</v>
      </c>
      <c r="L27" s="162">
        <f t="shared" si="16"/>
        <v>59.695</v>
      </c>
      <c r="M27" s="162">
        <f t="shared" si="16"/>
        <v>63.679541000000008</v>
      </c>
      <c r="N27" s="162">
        <f t="shared" si="16"/>
        <v>71.69</v>
      </c>
      <c r="O27" s="162">
        <f t="shared" si="16"/>
        <v>73.027000000000001</v>
      </c>
      <c r="P27" s="162">
        <f t="shared" si="16"/>
        <v>81.60199999999999</v>
      </c>
      <c r="Q27" s="162">
        <f t="shared" si="16"/>
        <v>83.181999999999988</v>
      </c>
      <c r="R27" s="162">
        <f t="shared" si="16"/>
        <v>85.085000000000022</v>
      </c>
      <c r="S27" s="162">
        <f t="shared" si="16"/>
        <v>92.387999999999991</v>
      </c>
      <c r="T27" s="162">
        <f t="shared" si="16"/>
        <v>88.537199999999999</v>
      </c>
      <c r="U27" s="162">
        <f t="shared" si="16"/>
        <v>99.125999999999991</v>
      </c>
      <c r="V27" s="162">
        <f t="shared" si="16"/>
        <v>100.87100000000001</v>
      </c>
      <c r="W27" s="162">
        <f t="shared" si="16"/>
        <v>103.30700000000002</v>
      </c>
      <c r="X27" s="162">
        <f t="shared" si="16"/>
        <v>114.16099999999999</v>
      </c>
      <c r="Y27" s="162">
        <f t="shared" si="16"/>
        <v>125.56</v>
      </c>
      <c r="Z27" s="162">
        <f t="shared" si="16"/>
        <v>135.50699999999998</v>
      </c>
      <c r="AA27" s="162">
        <f t="shared" si="16"/>
        <v>149.68900000000002</v>
      </c>
      <c r="AB27" s="162">
        <f t="shared" si="16"/>
        <v>167.78699999999998</v>
      </c>
      <c r="AC27" s="162">
        <f t="shared" si="16"/>
        <v>181.16299999999998</v>
      </c>
      <c r="AD27" s="162">
        <f t="shared" si="16"/>
        <v>196.78300000000002</v>
      </c>
      <c r="AE27" s="162">
        <f t="shared" si="16"/>
        <v>205.809</v>
      </c>
      <c r="AF27" s="162">
        <f t="shared" si="16"/>
        <v>194.971</v>
      </c>
      <c r="AG27" s="162">
        <f>SUM(AF27*AH15)</f>
        <v>201.26490168028144</v>
      </c>
      <c r="AH27" s="151" t="s">
        <v>57</v>
      </c>
      <c r="AJ27" s="2"/>
      <c r="AK27" s="18"/>
      <c r="AL27" s="18"/>
      <c r="AM27" s="18"/>
    </row>
    <row r="28" spans="1:40" ht="14.25" customHeight="1" x14ac:dyDescent="0.25">
      <c r="A28" s="163"/>
      <c r="B28" s="164"/>
      <c r="C28" s="164"/>
      <c r="D28" s="165">
        <f t="shared" ref="D28:AG28" si="17">SUM(D27/C27)</f>
        <v>1.4088669950738917</v>
      </c>
      <c r="E28" s="165">
        <f t="shared" si="17"/>
        <v>1.7377622377622377</v>
      </c>
      <c r="F28" s="165">
        <f t="shared" si="17"/>
        <v>1.5543259557344062</v>
      </c>
      <c r="G28" s="165">
        <f t="shared" si="17"/>
        <v>1.4783171521035596</v>
      </c>
      <c r="H28" s="165">
        <f t="shared" si="17"/>
        <v>1.1366024518388793</v>
      </c>
      <c r="I28" s="165">
        <f t="shared" si="17"/>
        <v>1.4635978428351311</v>
      </c>
      <c r="J28" s="165">
        <f t="shared" si="17"/>
        <v>1.1461244900644822</v>
      </c>
      <c r="K28" s="165">
        <f t="shared" si="17"/>
        <v>1.168829081222587</v>
      </c>
      <c r="L28" s="165">
        <f t="shared" si="17"/>
        <v>1.1728128253993204</v>
      </c>
      <c r="M28" s="165">
        <f t="shared" si="17"/>
        <v>1.0667483206298687</v>
      </c>
      <c r="N28" s="165">
        <f t="shared" si="17"/>
        <v>1.1257932905012615</v>
      </c>
      <c r="O28" s="165">
        <f t="shared" si="17"/>
        <v>1.0186497419444833</v>
      </c>
      <c r="P28" s="165">
        <f t="shared" si="17"/>
        <v>1.1174223232503044</v>
      </c>
      <c r="Q28" s="165">
        <f t="shared" si="17"/>
        <v>1.0193622705325849</v>
      </c>
      <c r="R28" s="165">
        <f t="shared" si="17"/>
        <v>1.0228775456228516</v>
      </c>
      <c r="S28" s="165">
        <f t="shared" si="17"/>
        <v>1.0858318152435795</v>
      </c>
      <c r="T28" s="165">
        <f t="shared" si="17"/>
        <v>0.95831926224184971</v>
      </c>
      <c r="U28" s="165">
        <f t="shared" si="17"/>
        <v>1.1195971862674672</v>
      </c>
      <c r="V28" s="165">
        <f t="shared" si="17"/>
        <v>1.0176038577164419</v>
      </c>
      <c r="W28" s="165">
        <f t="shared" si="17"/>
        <v>1.0241496564919552</v>
      </c>
      <c r="X28" s="165">
        <f t="shared" si="17"/>
        <v>1.1050654844299028</v>
      </c>
      <c r="Y28" s="165">
        <f t="shared" si="17"/>
        <v>1.0998502115433468</v>
      </c>
      <c r="Z28" s="165">
        <f t="shared" si="17"/>
        <v>1.0792210895189549</v>
      </c>
      <c r="AA28" s="165">
        <f t="shared" si="17"/>
        <v>1.104658799914396</v>
      </c>
      <c r="AB28" s="165">
        <f t="shared" si="17"/>
        <v>1.1209040076425119</v>
      </c>
      <c r="AC28" s="165">
        <f t="shared" si="17"/>
        <v>1.0797201213443235</v>
      </c>
      <c r="AD28" s="165">
        <f t="shared" si="17"/>
        <v>1.0862206962790417</v>
      </c>
      <c r="AE28" s="165">
        <f t="shared" si="17"/>
        <v>1.0458677832942886</v>
      </c>
      <c r="AF28" s="165">
        <f t="shared" si="17"/>
        <v>0.94733952353881512</v>
      </c>
      <c r="AG28" s="165">
        <f t="shared" si="17"/>
        <v>1.0322812196700095</v>
      </c>
      <c r="AH28" s="166"/>
      <c r="AM28" s="2"/>
    </row>
    <row r="29" spans="1:40" ht="16.5" x14ac:dyDescent="0.3">
      <c r="A29" s="209" t="s">
        <v>48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L29" s="18"/>
      <c r="AM29" s="18"/>
    </row>
    <row r="40" spans="2:4" x14ac:dyDescent="0.2">
      <c r="B40" s="44"/>
      <c r="C40" s="44"/>
      <c r="D40" s="44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3">
    <mergeCell ref="A1:AH1"/>
    <mergeCell ref="A2:AH2"/>
    <mergeCell ref="A29:AH29"/>
  </mergeCells>
  <printOptions horizontalCentered="1"/>
  <pageMargins left="0.25" right="0.25" top="0.52" bottom="0.25" header="0.93" footer="0.5"/>
  <pageSetup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E78D-EB8F-443F-BB5F-AA97F3C4974F}">
  <sheetPr>
    <tabColor theme="3" tint="0.39997558519241921"/>
    <pageSetUpPr fitToPage="1"/>
  </sheetPr>
  <dimension ref="A1:AK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5703125" style="21" bestFit="1" customWidth="1"/>
    <col min="22" max="25" width="9.140625" style="21"/>
    <col min="26" max="27" width="10.5703125" style="21" customWidth="1"/>
    <col min="28" max="29" width="15" style="21" customWidth="1"/>
    <col min="30" max="35" width="16.140625" style="21" customWidth="1"/>
    <col min="36" max="16384" width="9.140625" style="21"/>
  </cols>
  <sheetData>
    <row r="1" spans="1:37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7" ht="15.75" x14ac:dyDescent="0.25">
      <c r="A2" s="207" t="s">
        <v>63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7" ht="14.25" customHeight="1" x14ac:dyDescent="0.2">
      <c r="A3" s="137"/>
      <c r="B3" s="154">
        <v>2006</v>
      </c>
      <c r="C3" s="154">
        <v>2007</v>
      </c>
      <c r="D3" s="154">
        <v>2008</v>
      </c>
      <c r="E3" s="154">
        <v>2009</v>
      </c>
      <c r="F3" s="154">
        <v>2010</v>
      </c>
      <c r="G3" s="154">
        <v>2011</v>
      </c>
      <c r="H3" s="154">
        <v>2012</v>
      </c>
      <c r="I3" s="168" t="s">
        <v>46</v>
      </c>
      <c r="J3" s="168" t="s">
        <v>45</v>
      </c>
      <c r="K3" s="168" t="s">
        <v>44</v>
      </c>
      <c r="L3" s="168" t="s">
        <v>43</v>
      </c>
      <c r="M3" s="168" t="s">
        <v>50</v>
      </c>
      <c r="N3" s="168" t="s">
        <v>51</v>
      </c>
      <c r="O3" s="168" t="s">
        <v>55</v>
      </c>
      <c r="P3" s="168" t="s">
        <v>56</v>
      </c>
      <c r="Q3" s="168" t="s">
        <v>58</v>
      </c>
      <c r="R3" s="168" t="s">
        <v>66</v>
      </c>
      <c r="S3" s="156" t="s">
        <v>67</v>
      </c>
      <c r="T3" s="156" t="s">
        <v>68</v>
      </c>
      <c r="U3" s="157" t="s">
        <v>4</v>
      </c>
    </row>
    <row r="4" spans="1:37" s="117" customFormat="1" ht="14.25" customHeight="1" x14ac:dyDescent="0.2">
      <c r="A4" s="113" t="s">
        <v>42</v>
      </c>
      <c r="B4" s="118">
        <v>15.58</v>
      </c>
      <c r="C4" s="119">
        <v>13.705</v>
      </c>
      <c r="D4" s="119">
        <v>13.015000000000001</v>
      </c>
      <c r="E4" s="119">
        <v>12.246</v>
      </c>
      <c r="F4" s="119">
        <v>13.061999999999999</v>
      </c>
      <c r="G4" s="120">
        <v>13.632999999999999</v>
      </c>
      <c r="H4" s="118">
        <v>14.680999999999999</v>
      </c>
      <c r="I4" s="118">
        <v>15.946999999999999</v>
      </c>
      <c r="J4" s="118">
        <v>17.25</v>
      </c>
      <c r="K4" s="118">
        <v>16.939</v>
      </c>
      <c r="L4" s="118">
        <v>17.408999999999999</v>
      </c>
      <c r="M4" s="118">
        <v>17.346</v>
      </c>
      <c r="N4" s="118">
        <v>15.396000000000001</v>
      </c>
      <c r="O4" s="118">
        <v>15.459</v>
      </c>
      <c r="P4" s="118">
        <v>15.22</v>
      </c>
      <c r="Q4" s="118">
        <v>15.141999999999999</v>
      </c>
      <c r="R4" s="118">
        <v>14.843</v>
      </c>
      <c r="S4" s="196">
        <v>13.619</v>
      </c>
      <c r="T4" s="196">
        <v>13.234</v>
      </c>
      <c r="U4" s="134">
        <f>T4/S4</f>
        <v>0.97173067038695937</v>
      </c>
      <c r="AB4" s="56"/>
      <c r="AC4" s="56"/>
      <c r="AD4" s="56"/>
    </row>
    <row r="5" spans="1:37" ht="14.25" customHeight="1" x14ac:dyDescent="0.2">
      <c r="A5" s="114" t="s">
        <v>31</v>
      </c>
      <c r="B5" s="121">
        <f t="shared" ref="B5:J5" si="0">B4</f>
        <v>15.58</v>
      </c>
      <c r="C5" s="121">
        <f t="shared" si="0"/>
        <v>13.705</v>
      </c>
      <c r="D5" s="121">
        <f t="shared" si="0"/>
        <v>13.015000000000001</v>
      </c>
      <c r="E5" s="121">
        <f t="shared" si="0"/>
        <v>12.246</v>
      </c>
      <c r="F5" s="121">
        <f t="shared" si="0"/>
        <v>13.061999999999999</v>
      </c>
      <c r="G5" s="121">
        <f t="shared" si="0"/>
        <v>13.632999999999999</v>
      </c>
      <c r="H5" s="121">
        <f t="shared" si="0"/>
        <v>14.680999999999999</v>
      </c>
      <c r="I5" s="121">
        <f t="shared" si="0"/>
        <v>15.946999999999999</v>
      </c>
      <c r="J5" s="121">
        <f t="shared" si="0"/>
        <v>17.25</v>
      </c>
      <c r="K5" s="121">
        <f t="shared" ref="K5:Q5" si="1">SUM(K4)</f>
        <v>16.939</v>
      </c>
      <c r="L5" s="121">
        <f t="shared" si="1"/>
        <v>17.408999999999999</v>
      </c>
      <c r="M5" s="121">
        <f t="shared" si="1"/>
        <v>17.346</v>
      </c>
      <c r="N5" s="121">
        <f t="shared" si="1"/>
        <v>15.396000000000001</v>
      </c>
      <c r="O5" s="121">
        <f t="shared" si="1"/>
        <v>15.459</v>
      </c>
      <c r="P5" s="121">
        <f t="shared" si="1"/>
        <v>15.22</v>
      </c>
      <c r="Q5" s="121">
        <f t="shared" si="1"/>
        <v>15.141999999999999</v>
      </c>
      <c r="R5" s="121">
        <f t="shared" ref="R5:T5" si="2">SUM(R4)</f>
        <v>14.843</v>
      </c>
      <c r="S5" s="121">
        <f t="shared" si="2"/>
        <v>13.619</v>
      </c>
      <c r="T5" s="121">
        <f t="shared" si="2"/>
        <v>13.234</v>
      </c>
      <c r="U5" s="133">
        <f t="shared" ref="U5:U26" si="3">T5/S5</f>
        <v>0.97173067038695937</v>
      </c>
    </row>
    <row r="6" spans="1:37" s="117" customFormat="1" ht="14.25" customHeight="1" x14ac:dyDescent="0.2">
      <c r="A6" s="113" t="s">
        <v>41</v>
      </c>
      <c r="B6" s="118">
        <v>15.031000000000001</v>
      </c>
      <c r="C6" s="118">
        <v>13.11</v>
      </c>
      <c r="D6" s="118">
        <v>13.047000000000001</v>
      </c>
      <c r="E6" s="118">
        <v>11.851000000000001</v>
      </c>
      <c r="F6" s="118">
        <v>12.933999999999999</v>
      </c>
      <c r="G6" s="120">
        <v>13.445</v>
      </c>
      <c r="H6" s="118">
        <v>14.587999999999999</v>
      </c>
      <c r="I6" s="118">
        <v>14.366</v>
      </c>
      <c r="J6" s="118">
        <v>16.244</v>
      </c>
      <c r="K6" s="118">
        <v>17.355</v>
      </c>
      <c r="L6" s="118">
        <v>16.561</v>
      </c>
      <c r="M6" s="118">
        <v>16.533999999999999</v>
      </c>
      <c r="N6" s="118">
        <v>15.317</v>
      </c>
      <c r="O6" s="118">
        <v>14.24</v>
      </c>
      <c r="P6" s="118">
        <v>14.728999999999999</v>
      </c>
      <c r="Q6" s="118">
        <v>13.632</v>
      </c>
      <c r="R6" s="118">
        <v>14.082000000000001</v>
      </c>
      <c r="S6" s="198">
        <v>13.893000000000001</v>
      </c>
      <c r="T6" s="198">
        <v>12.307</v>
      </c>
      <c r="U6" s="134">
        <f t="shared" si="3"/>
        <v>0.88584179082991432</v>
      </c>
    </row>
    <row r="7" spans="1:37" ht="14.25" customHeight="1" x14ac:dyDescent="0.2">
      <c r="A7" s="114" t="s">
        <v>31</v>
      </c>
      <c r="B7" s="121">
        <f t="shared" ref="B7:J7" si="4">B5+B6</f>
        <v>30.611000000000001</v>
      </c>
      <c r="C7" s="121">
        <f t="shared" si="4"/>
        <v>26.814999999999998</v>
      </c>
      <c r="D7" s="121">
        <f t="shared" si="4"/>
        <v>26.062000000000001</v>
      </c>
      <c r="E7" s="121">
        <f t="shared" si="4"/>
        <v>24.097000000000001</v>
      </c>
      <c r="F7" s="121">
        <f t="shared" si="4"/>
        <v>25.995999999999999</v>
      </c>
      <c r="G7" s="121">
        <f t="shared" si="4"/>
        <v>27.077999999999999</v>
      </c>
      <c r="H7" s="121">
        <f t="shared" si="4"/>
        <v>29.268999999999998</v>
      </c>
      <c r="I7" s="121">
        <f t="shared" si="4"/>
        <v>30.312999999999999</v>
      </c>
      <c r="J7" s="121">
        <f t="shared" si="4"/>
        <v>33.494</v>
      </c>
      <c r="K7" s="121">
        <f t="shared" ref="K7:Q7" si="5">SUM(K5:K6)</f>
        <v>34.293999999999997</v>
      </c>
      <c r="L7" s="121">
        <f t="shared" si="5"/>
        <v>33.97</v>
      </c>
      <c r="M7" s="121">
        <f t="shared" si="5"/>
        <v>33.879999999999995</v>
      </c>
      <c r="N7" s="121">
        <f t="shared" si="5"/>
        <v>30.713000000000001</v>
      </c>
      <c r="O7" s="121">
        <f t="shared" si="5"/>
        <v>29.698999999999998</v>
      </c>
      <c r="P7" s="121">
        <f t="shared" si="5"/>
        <v>29.948999999999998</v>
      </c>
      <c r="Q7" s="121">
        <f t="shared" si="5"/>
        <v>28.774000000000001</v>
      </c>
      <c r="R7" s="121">
        <f t="shared" ref="R7:T7" si="6">SUM(R5:R6)</f>
        <v>28.925000000000001</v>
      </c>
      <c r="S7" s="121">
        <f t="shared" si="6"/>
        <v>27.512</v>
      </c>
      <c r="T7" s="121">
        <f t="shared" si="6"/>
        <v>25.541</v>
      </c>
      <c r="U7" s="133">
        <f t="shared" si="3"/>
        <v>0.92835853445769123</v>
      </c>
    </row>
    <row r="8" spans="1:37" s="117" customFormat="1" ht="14.25" customHeight="1" x14ac:dyDescent="0.2">
      <c r="A8" s="113" t="s">
        <v>40</v>
      </c>
      <c r="B8" s="122">
        <v>17.701000000000001</v>
      </c>
      <c r="C8" s="122">
        <v>16.068000000000001</v>
      </c>
      <c r="D8" s="122">
        <v>15.234999999999999</v>
      </c>
      <c r="E8" s="122">
        <v>13.686999999999999</v>
      </c>
      <c r="F8" s="122">
        <v>15.625</v>
      </c>
      <c r="G8" s="123">
        <v>15.964</v>
      </c>
      <c r="H8" s="122">
        <v>17.605</v>
      </c>
      <c r="I8" s="122">
        <v>17.431000000000001</v>
      </c>
      <c r="J8" s="122">
        <v>19.507999999999999</v>
      </c>
      <c r="K8" s="122">
        <v>19.579000000000001</v>
      </c>
      <c r="L8" s="122">
        <v>19.09</v>
      </c>
      <c r="M8" s="122">
        <v>18.856999999999999</v>
      </c>
      <c r="N8" s="122">
        <v>18.16</v>
      </c>
      <c r="O8" s="122">
        <v>17.106000000000002</v>
      </c>
      <c r="P8" s="122">
        <v>16.207000000000001</v>
      </c>
      <c r="Q8" s="122">
        <v>17.863</v>
      </c>
      <c r="R8" s="122">
        <v>17.173999999999999</v>
      </c>
      <c r="S8" s="200">
        <v>16.158000000000001</v>
      </c>
      <c r="T8" s="200">
        <v>13.451000000000001</v>
      </c>
      <c r="U8" s="134">
        <f t="shared" si="3"/>
        <v>0.83246688946651815</v>
      </c>
    </row>
    <row r="9" spans="1:37" ht="14.25" customHeight="1" x14ac:dyDescent="0.2">
      <c r="A9" s="114" t="s">
        <v>31</v>
      </c>
      <c r="B9" s="124">
        <f t="shared" ref="B9:J9" si="7">B7+B8</f>
        <v>48.311999999999998</v>
      </c>
      <c r="C9" s="124">
        <f t="shared" si="7"/>
        <v>42.882999999999996</v>
      </c>
      <c r="D9" s="124">
        <f t="shared" si="7"/>
        <v>41.296999999999997</v>
      </c>
      <c r="E9" s="124">
        <f t="shared" si="7"/>
        <v>37.783999999999999</v>
      </c>
      <c r="F9" s="124">
        <f t="shared" si="7"/>
        <v>41.620999999999995</v>
      </c>
      <c r="G9" s="124">
        <f t="shared" si="7"/>
        <v>43.042000000000002</v>
      </c>
      <c r="H9" s="124">
        <f t="shared" si="7"/>
        <v>46.873999999999995</v>
      </c>
      <c r="I9" s="121">
        <f t="shared" si="7"/>
        <v>47.744</v>
      </c>
      <c r="J9" s="121">
        <f t="shared" si="7"/>
        <v>53.001999999999995</v>
      </c>
      <c r="K9" s="121">
        <f t="shared" ref="K9:T9" si="8">SUM(K7:K8)</f>
        <v>53.872999999999998</v>
      </c>
      <c r="L9" s="121">
        <f t="shared" si="8"/>
        <v>53.06</v>
      </c>
      <c r="M9" s="121">
        <f t="shared" si="8"/>
        <v>52.736999999999995</v>
      </c>
      <c r="N9" s="121">
        <f t="shared" si="8"/>
        <v>48.873000000000005</v>
      </c>
      <c r="O9" s="121">
        <f t="shared" si="8"/>
        <v>46.805</v>
      </c>
      <c r="P9" s="121">
        <f t="shared" si="8"/>
        <v>46.155999999999999</v>
      </c>
      <c r="Q9" s="121">
        <f t="shared" si="8"/>
        <v>46.637</v>
      </c>
      <c r="R9" s="121">
        <f t="shared" si="8"/>
        <v>46.099000000000004</v>
      </c>
      <c r="S9" s="121">
        <f t="shared" si="8"/>
        <v>43.67</v>
      </c>
      <c r="T9" s="121">
        <f t="shared" si="8"/>
        <v>38.992000000000004</v>
      </c>
      <c r="U9" s="133">
        <f t="shared" si="3"/>
        <v>0.89287840622853221</v>
      </c>
    </row>
    <row r="10" spans="1:37" s="117" customFormat="1" ht="14.25" customHeight="1" x14ac:dyDescent="0.2">
      <c r="A10" s="113" t="s">
        <v>39</v>
      </c>
      <c r="B10" s="118">
        <v>14.882999999999999</v>
      </c>
      <c r="C10" s="118">
        <v>13.25</v>
      </c>
      <c r="D10" s="118">
        <v>12.843999999999999</v>
      </c>
      <c r="E10" s="118">
        <v>12.125999999999999</v>
      </c>
      <c r="F10" s="118">
        <v>12.941000000000001</v>
      </c>
      <c r="G10" s="120">
        <v>13.382</v>
      </c>
      <c r="H10" s="118">
        <v>14.933999999999999</v>
      </c>
      <c r="I10" s="118">
        <v>15.148</v>
      </c>
      <c r="J10" s="118">
        <v>17.077000000000002</v>
      </c>
      <c r="K10" s="118">
        <v>16.637</v>
      </c>
      <c r="L10" s="118">
        <v>16.779</v>
      </c>
      <c r="M10" s="118">
        <v>16.064</v>
      </c>
      <c r="N10" s="118">
        <v>15.297000000000001</v>
      </c>
      <c r="O10" s="118">
        <v>14.202999999999999</v>
      </c>
      <c r="P10" s="118">
        <v>13.193</v>
      </c>
      <c r="Q10" s="118">
        <v>15.259</v>
      </c>
      <c r="R10" s="118">
        <v>14.891</v>
      </c>
      <c r="S10" s="200">
        <v>14.109</v>
      </c>
      <c r="T10" s="200">
        <v>11.747999999999999</v>
      </c>
      <c r="U10" s="134">
        <f t="shared" si="3"/>
        <v>0.83266000425260467</v>
      </c>
    </row>
    <row r="11" spans="1:37" ht="14.25" customHeight="1" x14ac:dyDescent="0.2">
      <c r="A11" s="114" t="s">
        <v>31</v>
      </c>
      <c r="B11" s="121">
        <f t="shared" ref="B11:J11" si="9">B9+B10</f>
        <v>63.194999999999993</v>
      </c>
      <c r="C11" s="121">
        <f t="shared" si="9"/>
        <v>56.132999999999996</v>
      </c>
      <c r="D11" s="121">
        <f t="shared" si="9"/>
        <v>54.140999999999998</v>
      </c>
      <c r="E11" s="121">
        <f t="shared" si="9"/>
        <v>49.91</v>
      </c>
      <c r="F11" s="121">
        <f t="shared" si="9"/>
        <v>54.561999999999998</v>
      </c>
      <c r="G11" s="121">
        <f t="shared" si="9"/>
        <v>56.423999999999999</v>
      </c>
      <c r="H11" s="121">
        <f t="shared" si="9"/>
        <v>61.807999999999993</v>
      </c>
      <c r="I11" s="121">
        <f t="shared" si="9"/>
        <v>62.891999999999996</v>
      </c>
      <c r="J11" s="121">
        <f t="shared" si="9"/>
        <v>70.078999999999994</v>
      </c>
      <c r="K11" s="121">
        <f t="shared" ref="K11:T11" si="10">SUM(K9:K10)</f>
        <v>70.509999999999991</v>
      </c>
      <c r="L11" s="121">
        <f t="shared" si="10"/>
        <v>69.838999999999999</v>
      </c>
      <c r="M11" s="121">
        <f t="shared" si="10"/>
        <v>68.800999999999988</v>
      </c>
      <c r="N11" s="121">
        <f t="shared" si="10"/>
        <v>64.17</v>
      </c>
      <c r="O11" s="121">
        <f t="shared" si="10"/>
        <v>61.007999999999996</v>
      </c>
      <c r="P11" s="121">
        <f t="shared" si="10"/>
        <v>59.348999999999997</v>
      </c>
      <c r="Q11" s="121">
        <f t="shared" si="10"/>
        <v>61.896000000000001</v>
      </c>
      <c r="R11" s="121">
        <f t="shared" si="10"/>
        <v>60.99</v>
      </c>
      <c r="S11" s="121">
        <f t="shared" si="10"/>
        <v>57.779000000000003</v>
      </c>
      <c r="T11" s="121">
        <f t="shared" si="10"/>
        <v>50.74</v>
      </c>
      <c r="U11" s="133">
        <f t="shared" si="3"/>
        <v>0.87817373094030704</v>
      </c>
    </row>
    <row r="12" spans="1:37" s="117" customFormat="1" ht="14.25" customHeight="1" x14ac:dyDescent="0.2">
      <c r="A12" s="113" t="s">
        <v>38</v>
      </c>
      <c r="B12" s="118">
        <v>14.635999999999999</v>
      </c>
      <c r="C12" s="118">
        <v>13.478999999999999</v>
      </c>
      <c r="D12" s="118">
        <v>12.859</v>
      </c>
      <c r="E12" s="118">
        <v>12.077999999999999</v>
      </c>
      <c r="F12" s="118">
        <v>13.025</v>
      </c>
      <c r="G12" s="120">
        <v>13.856999999999999</v>
      </c>
      <c r="H12" s="118">
        <v>15.298999999999999</v>
      </c>
      <c r="I12" s="118">
        <v>15.831</v>
      </c>
      <c r="J12" s="118">
        <v>16.475999999999999</v>
      </c>
      <c r="K12" s="118">
        <v>16.96</v>
      </c>
      <c r="L12" s="118">
        <v>16.622</v>
      </c>
      <c r="M12" s="118">
        <v>16.382999999999999</v>
      </c>
      <c r="N12" s="118">
        <v>15.715</v>
      </c>
      <c r="O12" s="118">
        <v>14.255000000000001</v>
      </c>
      <c r="P12" s="125">
        <v>13.382999999999999</v>
      </c>
      <c r="Q12" s="125">
        <v>15.289</v>
      </c>
      <c r="R12" s="125">
        <v>14.949</v>
      </c>
      <c r="S12" s="200">
        <v>13.974</v>
      </c>
      <c r="T12" s="200">
        <v>11.664</v>
      </c>
      <c r="U12" s="134">
        <f t="shared" si="3"/>
        <v>0.83469300128810642</v>
      </c>
      <c r="AG12" s="56"/>
      <c r="AH12" s="56"/>
      <c r="AI12" s="56"/>
      <c r="AJ12" s="56"/>
      <c r="AK12" s="56"/>
    </row>
    <row r="13" spans="1:37" ht="14.25" customHeight="1" x14ac:dyDescent="0.2">
      <c r="A13" s="114" t="s">
        <v>31</v>
      </c>
      <c r="B13" s="46">
        <f t="shared" ref="B13:I13" si="11">B11+B12</f>
        <v>77.830999999999989</v>
      </c>
      <c r="C13" s="46">
        <f t="shared" si="11"/>
        <v>69.611999999999995</v>
      </c>
      <c r="D13" s="46">
        <f t="shared" si="11"/>
        <v>67</v>
      </c>
      <c r="E13" s="46">
        <f t="shared" si="11"/>
        <v>61.988</v>
      </c>
      <c r="F13" s="46">
        <f t="shared" si="11"/>
        <v>67.587000000000003</v>
      </c>
      <c r="G13" s="46">
        <f t="shared" si="11"/>
        <v>70.281000000000006</v>
      </c>
      <c r="H13" s="46">
        <f t="shared" si="11"/>
        <v>77.106999999999999</v>
      </c>
      <c r="I13" s="121">
        <f t="shared" si="11"/>
        <v>78.722999999999999</v>
      </c>
      <c r="J13" s="121">
        <f t="shared" ref="J13:T13" si="12">SUM(J11:J12)</f>
        <v>86.554999999999993</v>
      </c>
      <c r="K13" s="121">
        <f t="shared" si="12"/>
        <v>87.47</v>
      </c>
      <c r="L13" s="121">
        <f t="shared" si="12"/>
        <v>86.460999999999999</v>
      </c>
      <c r="M13" s="121">
        <f t="shared" si="12"/>
        <v>85.183999999999983</v>
      </c>
      <c r="N13" s="121">
        <f t="shared" si="12"/>
        <v>79.885000000000005</v>
      </c>
      <c r="O13" s="121">
        <f t="shared" si="12"/>
        <v>75.262999999999991</v>
      </c>
      <c r="P13" s="121">
        <f t="shared" si="12"/>
        <v>72.731999999999999</v>
      </c>
      <c r="Q13" s="121">
        <f t="shared" si="12"/>
        <v>77.185000000000002</v>
      </c>
      <c r="R13" s="121">
        <f t="shared" si="12"/>
        <v>75.939000000000007</v>
      </c>
      <c r="S13" s="121">
        <f t="shared" si="12"/>
        <v>71.753</v>
      </c>
      <c r="T13" s="121">
        <f t="shared" si="12"/>
        <v>62.404000000000003</v>
      </c>
      <c r="U13" s="133">
        <f t="shared" si="3"/>
        <v>0.86970579627332656</v>
      </c>
      <c r="AB13" s="18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117" customFormat="1" ht="14.25" customHeight="1" x14ac:dyDescent="0.2">
      <c r="A14" s="113" t="s">
        <v>37</v>
      </c>
      <c r="B14" s="118">
        <v>15.492000000000001</v>
      </c>
      <c r="C14" s="118">
        <v>14.827999999999999</v>
      </c>
      <c r="D14" s="118">
        <v>14.161</v>
      </c>
      <c r="E14" s="118">
        <v>13.438000000000001</v>
      </c>
      <c r="F14" s="118">
        <v>14.193</v>
      </c>
      <c r="G14" s="120">
        <v>14.84</v>
      </c>
      <c r="H14" s="118">
        <v>16.878</v>
      </c>
      <c r="I14" s="118">
        <v>17.263999999999999</v>
      </c>
      <c r="J14" s="118">
        <v>18.305</v>
      </c>
      <c r="K14" s="118">
        <v>18.042000000000002</v>
      </c>
      <c r="L14" s="118">
        <v>18.477</v>
      </c>
      <c r="M14" s="118">
        <v>17.890999999999998</v>
      </c>
      <c r="N14" s="118">
        <v>16.975000000000001</v>
      </c>
      <c r="O14" s="118">
        <v>16.344999999999999</v>
      </c>
      <c r="P14" s="125">
        <v>15.923</v>
      </c>
      <c r="Q14" s="125">
        <v>16.64</v>
      </c>
      <c r="R14" s="125">
        <v>15.768000000000001</v>
      </c>
      <c r="S14" s="198">
        <v>15.464</v>
      </c>
      <c r="T14" s="198">
        <v>11.808</v>
      </c>
      <c r="U14" s="134">
        <f t="shared" si="3"/>
        <v>0.76357992757371962</v>
      </c>
      <c r="AB14" s="81"/>
      <c r="AC14" s="56"/>
      <c r="AD14" s="56"/>
      <c r="AE14" s="56"/>
      <c r="AF14" s="56"/>
      <c r="AG14" s="56">
        <v>15.692</v>
      </c>
      <c r="AH14" s="56"/>
      <c r="AI14" s="56"/>
      <c r="AJ14" s="56"/>
      <c r="AK14" s="56"/>
    </row>
    <row r="15" spans="1:37" ht="14.25" customHeight="1" x14ac:dyDescent="0.2">
      <c r="A15" s="114" t="s">
        <v>31</v>
      </c>
      <c r="B15" s="46">
        <f t="shared" ref="B15:I15" si="13">B13+B14</f>
        <v>93.322999999999993</v>
      </c>
      <c r="C15" s="46">
        <f t="shared" si="13"/>
        <v>84.44</v>
      </c>
      <c r="D15" s="46">
        <f t="shared" si="13"/>
        <v>81.161000000000001</v>
      </c>
      <c r="E15" s="46">
        <f t="shared" si="13"/>
        <v>75.426000000000002</v>
      </c>
      <c r="F15" s="46">
        <f t="shared" si="13"/>
        <v>81.78</v>
      </c>
      <c r="G15" s="46">
        <f t="shared" si="13"/>
        <v>85.121000000000009</v>
      </c>
      <c r="H15" s="46">
        <f t="shared" si="13"/>
        <v>93.984999999999999</v>
      </c>
      <c r="I15" s="121">
        <f t="shared" si="13"/>
        <v>95.986999999999995</v>
      </c>
      <c r="J15" s="121">
        <f t="shared" ref="J15:T15" si="14">SUM(J13:J14)</f>
        <v>104.85999999999999</v>
      </c>
      <c r="K15" s="121">
        <f t="shared" si="14"/>
        <v>105.512</v>
      </c>
      <c r="L15" s="121">
        <f t="shared" si="14"/>
        <v>104.938</v>
      </c>
      <c r="M15" s="121">
        <f t="shared" si="14"/>
        <v>103.07499999999999</v>
      </c>
      <c r="N15" s="121">
        <f t="shared" si="14"/>
        <v>96.860000000000014</v>
      </c>
      <c r="O15" s="121">
        <f t="shared" si="14"/>
        <v>91.60799999999999</v>
      </c>
      <c r="P15" s="121">
        <f t="shared" si="14"/>
        <v>88.655000000000001</v>
      </c>
      <c r="Q15" s="121">
        <f t="shared" si="14"/>
        <v>93.825000000000003</v>
      </c>
      <c r="R15" s="121">
        <f t="shared" si="14"/>
        <v>91.707000000000008</v>
      </c>
      <c r="S15" s="121">
        <f t="shared" si="14"/>
        <v>87.216999999999999</v>
      </c>
      <c r="T15" s="121">
        <f t="shared" si="14"/>
        <v>74.212000000000003</v>
      </c>
      <c r="U15" s="133">
        <f t="shared" si="3"/>
        <v>0.85088916151667682</v>
      </c>
      <c r="AB15" s="18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17" customFormat="1" ht="14.25" customHeight="1" x14ac:dyDescent="0.2">
      <c r="A16" s="113" t="s">
        <v>36</v>
      </c>
      <c r="B16" s="118">
        <v>12.615</v>
      </c>
      <c r="C16" s="118">
        <v>12.409000000000001</v>
      </c>
      <c r="D16" s="118">
        <v>11.797000000000001</v>
      </c>
      <c r="E16" s="118">
        <v>11.55</v>
      </c>
      <c r="F16" s="118">
        <v>12.026999999999999</v>
      </c>
      <c r="G16" s="120">
        <v>12.516999999999999</v>
      </c>
      <c r="H16" s="118">
        <v>14.632</v>
      </c>
      <c r="I16" s="118">
        <v>15.11</v>
      </c>
      <c r="J16" s="118">
        <v>15.548</v>
      </c>
      <c r="K16" s="118">
        <v>16.042999999999999</v>
      </c>
      <c r="L16" s="118">
        <v>14.968</v>
      </c>
      <c r="M16" s="118">
        <v>15.747999999999999</v>
      </c>
      <c r="N16" s="118">
        <v>14.818</v>
      </c>
      <c r="O16" s="118">
        <v>14.391999999999999</v>
      </c>
      <c r="P16" s="118">
        <v>13.741</v>
      </c>
      <c r="Q16" s="118">
        <v>14.195</v>
      </c>
      <c r="R16" s="118">
        <v>13.116</v>
      </c>
      <c r="S16" s="50">
        <v>13.314</v>
      </c>
      <c r="T16" s="50"/>
      <c r="U16" s="134">
        <f t="shared" si="3"/>
        <v>0</v>
      </c>
      <c r="AB16" s="81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7" ht="14.25" customHeight="1" x14ac:dyDescent="0.2">
      <c r="A17" s="114" t="s">
        <v>31</v>
      </c>
      <c r="B17" s="46">
        <f t="shared" ref="B17:H17" si="15">B16+B15</f>
        <v>105.93799999999999</v>
      </c>
      <c r="C17" s="46">
        <f t="shared" si="15"/>
        <v>96.849000000000004</v>
      </c>
      <c r="D17" s="46">
        <f t="shared" si="15"/>
        <v>92.957999999999998</v>
      </c>
      <c r="E17" s="46">
        <f t="shared" si="15"/>
        <v>86.975999999999999</v>
      </c>
      <c r="F17" s="46">
        <f t="shared" si="15"/>
        <v>93.807000000000002</v>
      </c>
      <c r="G17" s="46">
        <f t="shared" si="15"/>
        <v>97.638000000000005</v>
      </c>
      <c r="H17" s="46">
        <f t="shared" si="15"/>
        <v>108.617</v>
      </c>
      <c r="I17" s="121">
        <f>I15+I16</f>
        <v>111.09699999999999</v>
      </c>
      <c r="J17" s="121">
        <f t="shared" ref="J17:S17" si="16">SUM(J15:J16)</f>
        <v>120.40799999999999</v>
      </c>
      <c r="K17" s="121">
        <f t="shared" si="16"/>
        <v>121.55500000000001</v>
      </c>
      <c r="L17" s="121">
        <f t="shared" si="16"/>
        <v>119.90600000000001</v>
      </c>
      <c r="M17" s="121">
        <f t="shared" si="16"/>
        <v>118.82299999999999</v>
      </c>
      <c r="N17" s="121">
        <f t="shared" si="16"/>
        <v>111.67800000000001</v>
      </c>
      <c r="O17" s="121">
        <f t="shared" si="16"/>
        <v>105.99999999999999</v>
      </c>
      <c r="P17" s="121">
        <f t="shared" si="16"/>
        <v>102.396</v>
      </c>
      <c r="Q17" s="121">
        <f t="shared" si="16"/>
        <v>108.02000000000001</v>
      </c>
      <c r="R17" s="121">
        <f t="shared" si="16"/>
        <v>104.82300000000001</v>
      </c>
      <c r="S17" s="121">
        <f t="shared" si="16"/>
        <v>100.53100000000001</v>
      </c>
      <c r="T17" s="121"/>
      <c r="U17" s="133">
        <f t="shared" si="3"/>
        <v>0</v>
      </c>
      <c r="AB17" s="18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117" customFormat="1" ht="14.25" customHeight="1" x14ac:dyDescent="0.2">
      <c r="A18" s="113" t="s">
        <v>35</v>
      </c>
      <c r="B18" s="118">
        <v>12.747999999999999</v>
      </c>
      <c r="C18" s="118">
        <v>12.611000000000001</v>
      </c>
      <c r="D18" s="118">
        <v>11.728999999999999</v>
      </c>
      <c r="E18" s="118">
        <v>11.346</v>
      </c>
      <c r="F18" s="118">
        <v>12.523</v>
      </c>
      <c r="G18" s="120">
        <v>12.757</v>
      </c>
      <c r="H18" s="118">
        <v>14.702</v>
      </c>
      <c r="I18" s="118">
        <v>15.28</v>
      </c>
      <c r="J18" s="118">
        <v>15.596</v>
      </c>
      <c r="K18" s="118">
        <v>15.451000000000001</v>
      </c>
      <c r="L18" s="118">
        <v>15.4</v>
      </c>
      <c r="M18" s="118">
        <v>15.667999999999999</v>
      </c>
      <c r="N18" s="118">
        <v>15.257999999999999</v>
      </c>
      <c r="O18" s="118">
        <v>14.095000000000001</v>
      </c>
      <c r="P18" s="118">
        <v>13.425000000000001</v>
      </c>
      <c r="Q18" s="118">
        <v>14.521000000000001</v>
      </c>
      <c r="R18" s="118">
        <v>13.923</v>
      </c>
      <c r="S18" s="50">
        <v>13.606</v>
      </c>
      <c r="T18" s="50"/>
      <c r="U18" s="134">
        <f t="shared" si="3"/>
        <v>0</v>
      </c>
      <c r="AB18" s="81"/>
      <c r="AC18" s="56"/>
      <c r="AD18" s="56"/>
    </row>
    <row r="19" spans="1:37" ht="14.25" customHeight="1" x14ac:dyDescent="0.2">
      <c r="A19" s="114" t="s">
        <v>31</v>
      </c>
      <c r="B19" s="46">
        <f t="shared" ref="B19:H19" si="17">B18+B17</f>
        <v>118.68599999999999</v>
      </c>
      <c r="C19" s="46">
        <f t="shared" si="17"/>
        <v>109.46000000000001</v>
      </c>
      <c r="D19" s="46">
        <f t="shared" si="17"/>
        <v>104.687</v>
      </c>
      <c r="E19" s="46">
        <f t="shared" si="17"/>
        <v>98.322000000000003</v>
      </c>
      <c r="F19" s="46">
        <f t="shared" si="17"/>
        <v>106.33</v>
      </c>
      <c r="G19" s="46">
        <f t="shared" si="17"/>
        <v>110.39500000000001</v>
      </c>
      <c r="H19" s="46">
        <f t="shared" si="17"/>
        <v>123.319</v>
      </c>
      <c r="I19" s="121">
        <f>I17+I18</f>
        <v>126.377</v>
      </c>
      <c r="J19" s="121">
        <f>J18+J17</f>
        <v>136.00399999999999</v>
      </c>
      <c r="K19" s="121">
        <f t="shared" ref="K19:S19" si="18">SUM(K17:K18)</f>
        <v>137.006</v>
      </c>
      <c r="L19" s="121">
        <f t="shared" si="18"/>
        <v>135.30600000000001</v>
      </c>
      <c r="M19" s="121">
        <f t="shared" si="18"/>
        <v>134.49099999999999</v>
      </c>
      <c r="N19" s="121">
        <f t="shared" si="18"/>
        <v>126.93600000000001</v>
      </c>
      <c r="O19" s="121">
        <f t="shared" si="18"/>
        <v>120.09499999999998</v>
      </c>
      <c r="P19" s="121">
        <f t="shared" si="18"/>
        <v>115.821</v>
      </c>
      <c r="Q19" s="121">
        <f t="shared" si="18"/>
        <v>122.54100000000001</v>
      </c>
      <c r="R19" s="121">
        <f t="shared" si="18"/>
        <v>118.74600000000001</v>
      </c>
      <c r="S19" s="121">
        <f t="shared" si="18"/>
        <v>114.137</v>
      </c>
      <c r="T19" s="121"/>
      <c r="U19" s="133">
        <f t="shared" si="3"/>
        <v>0</v>
      </c>
      <c r="AB19" s="18"/>
      <c r="AC19" s="2"/>
      <c r="AD19" s="2"/>
    </row>
    <row r="20" spans="1:37" s="117" customFormat="1" ht="14.25" customHeight="1" x14ac:dyDescent="0.2">
      <c r="A20" s="113" t="s">
        <v>34</v>
      </c>
      <c r="B20" s="118">
        <v>14.778</v>
      </c>
      <c r="C20" s="118">
        <v>14.702</v>
      </c>
      <c r="D20" s="118">
        <v>13.534000000000001</v>
      </c>
      <c r="E20" s="118">
        <v>12.573</v>
      </c>
      <c r="F20" s="118">
        <v>13.747</v>
      </c>
      <c r="G20" s="120">
        <v>14.36</v>
      </c>
      <c r="H20" s="118">
        <v>16.670000000000002</v>
      </c>
      <c r="I20" s="118">
        <v>17.838000000000001</v>
      </c>
      <c r="J20" s="118">
        <v>18.096</v>
      </c>
      <c r="K20" s="118">
        <v>17.390999999999998</v>
      </c>
      <c r="L20" s="118">
        <v>17.661999999999999</v>
      </c>
      <c r="M20" s="118">
        <v>15.836</v>
      </c>
      <c r="N20" s="118">
        <v>17.145</v>
      </c>
      <c r="O20" s="118">
        <v>15.662000000000001</v>
      </c>
      <c r="P20" s="118">
        <v>14.347</v>
      </c>
      <c r="Q20" s="118">
        <v>15.702</v>
      </c>
      <c r="R20" s="118">
        <v>14.763</v>
      </c>
      <c r="S20" s="50">
        <v>15.422000000000001</v>
      </c>
      <c r="T20" s="50"/>
      <c r="U20" s="134">
        <f t="shared" si="3"/>
        <v>0</v>
      </c>
      <c r="AB20" s="81"/>
      <c r="AC20" s="56"/>
      <c r="AD20" s="56"/>
    </row>
    <row r="21" spans="1:37" ht="14.25" customHeight="1" x14ac:dyDescent="0.2">
      <c r="A21" s="114" t="s">
        <v>31</v>
      </c>
      <c r="B21" s="46">
        <f t="shared" ref="B21:J21" si="19">B19+B20</f>
        <v>133.464</v>
      </c>
      <c r="C21" s="46">
        <f t="shared" si="19"/>
        <v>124.16200000000001</v>
      </c>
      <c r="D21" s="46">
        <f t="shared" si="19"/>
        <v>118.221</v>
      </c>
      <c r="E21" s="46">
        <f t="shared" si="19"/>
        <v>110.89500000000001</v>
      </c>
      <c r="F21" s="46">
        <f t="shared" si="19"/>
        <v>120.077</v>
      </c>
      <c r="G21" s="46">
        <f t="shared" si="19"/>
        <v>124.75500000000001</v>
      </c>
      <c r="H21" s="46">
        <f t="shared" si="19"/>
        <v>139.989</v>
      </c>
      <c r="I21" s="121">
        <f t="shared" si="19"/>
        <v>144.215</v>
      </c>
      <c r="J21" s="121">
        <f t="shared" si="19"/>
        <v>154.1</v>
      </c>
      <c r="K21" s="121">
        <f t="shared" ref="K21:S21" si="20">SUM(K19:K20)</f>
        <v>154.39699999999999</v>
      </c>
      <c r="L21" s="121">
        <f t="shared" si="20"/>
        <v>152.96800000000002</v>
      </c>
      <c r="M21" s="121">
        <f t="shared" si="20"/>
        <v>150.327</v>
      </c>
      <c r="N21" s="121">
        <f t="shared" si="20"/>
        <v>144.08100000000002</v>
      </c>
      <c r="O21" s="121">
        <f t="shared" si="20"/>
        <v>135.75699999999998</v>
      </c>
      <c r="P21" s="121">
        <f t="shared" si="20"/>
        <v>130.16800000000001</v>
      </c>
      <c r="Q21" s="121">
        <f t="shared" si="20"/>
        <v>138.24300000000002</v>
      </c>
      <c r="R21" s="121">
        <f t="shared" si="20"/>
        <v>133.50900000000001</v>
      </c>
      <c r="S21" s="121">
        <f t="shared" si="20"/>
        <v>129.559</v>
      </c>
      <c r="T21" s="121"/>
      <c r="U21" s="133">
        <f t="shared" si="3"/>
        <v>0</v>
      </c>
      <c r="AB21" s="18"/>
      <c r="AC21" s="2"/>
      <c r="AD21" s="2"/>
    </row>
    <row r="22" spans="1:37" s="117" customFormat="1" ht="14.25" customHeight="1" x14ac:dyDescent="0.2">
      <c r="A22" s="113" t="s">
        <v>33</v>
      </c>
      <c r="B22" s="118">
        <v>12.859</v>
      </c>
      <c r="C22" s="118">
        <v>12.323</v>
      </c>
      <c r="D22" s="118">
        <v>12.223000000000001</v>
      </c>
      <c r="E22" s="118">
        <v>12.115</v>
      </c>
      <c r="F22" s="118">
        <v>12.901999999999999</v>
      </c>
      <c r="G22" s="120">
        <v>13.138999999999999</v>
      </c>
      <c r="H22" s="118">
        <v>14.683</v>
      </c>
      <c r="I22" s="118">
        <v>15.693</v>
      </c>
      <c r="J22" s="118">
        <v>16.715</v>
      </c>
      <c r="K22" s="118">
        <v>17.029</v>
      </c>
      <c r="L22" s="118">
        <v>16.869</v>
      </c>
      <c r="M22" s="118">
        <v>14.801</v>
      </c>
      <c r="N22" s="118">
        <v>14.826000000000001</v>
      </c>
      <c r="O22" s="118">
        <v>13.627000000000001</v>
      </c>
      <c r="P22" s="118">
        <v>14.773</v>
      </c>
      <c r="Q22" s="118">
        <v>14.949</v>
      </c>
      <c r="R22" s="118">
        <v>14.077</v>
      </c>
      <c r="S22" s="50">
        <v>14.028</v>
      </c>
      <c r="T22" s="50"/>
      <c r="U22" s="134">
        <f t="shared" si="3"/>
        <v>0</v>
      </c>
      <c r="AB22" s="81"/>
      <c r="AC22" s="56"/>
      <c r="AD22" s="56"/>
    </row>
    <row r="23" spans="1:37" ht="14.25" customHeight="1" x14ac:dyDescent="0.2">
      <c r="A23" s="114" t="s">
        <v>31</v>
      </c>
      <c r="B23" s="46">
        <f t="shared" ref="B23:J23" si="21">B21+B22</f>
        <v>146.32300000000001</v>
      </c>
      <c r="C23" s="46">
        <f t="shared" si="21"/>
        <v>136.48500000000001</v>
      </c>
      <c r="D23" s="46">
        <f t="shared" si="21"/>
        <v>130.44400000000002</v>
      </c>
      <c r="E23" s="46">
        <f t="shared" si="21"/>
        <v>123.01</v>
      </c>
      <c r="F23" s="46">
        <f t="shared" si="21"/>
        <v>132.97899999999998</v>
      </c>
      <c r="G23" s="46">
        <f t="shared" si="21"/>
        <v>137.89400000000001</v>
      </c>
      <c r="H23" s="46">
        <f t="shared" si="21"/>
        <v>154.672</v>
      </c>
      <c r="I23" s="121">
        <f t="shared" si="21"/>
        <v>159.90800000000002</v>
      </c>
      <c r="J23" s="121">
        <f t="shared" si="21"/>
        <v>170.815</v>
      </c>
      <c r="K23" s="121">
        <f t="shared" ref="K23:S23" si="22">SUM(K21:K22)</f>
        <v>171.42599999999999</v>
      </c>
      <c r="L23" s="121">
        <f t="shared" si="22"/>
        <v>169.83700000000002</v>
      </c>
      <c r="M23" s="121">
        <f t="shared" si="22"/>
        <v>165.12799999999999</v>
      </c>
      <c r="N23" s="121">
        <f t="shared" si="22"/>
        <v>158.90700000000001</v>
      </c>
      <c r="O23" s="121">
        <f t="shared" si="22"/>
        <v>149.38399999999999</v>
      </c>
      <c r="P23" s="121">
        <f t="shared" si="22"/>
        <v>144.941</v>
      </c>
      <c r="Q23" s="121">
        <f t="shared" si="22"/>
        <v>153.19200000000004</v>
      </c>
      <c r="R23" s="121">
        <f t="shared" si="22"/>
        <v>147.58600000000001</v>
      </c>
      <c r="S23" s="121">
        <f t="shared" si="22"/>
        <v>143.58699999999999</v>
      </c>
      <c r="T23" s="121"/>
      <c r="U23" s="133">
        <f t="shared" si="3"/>
        <v>0</v>
      </c>
      <c r="AB23" s="18"/>
      <c r="AC23" s="2"/>
      <c r="AD23" s="2"/>
    </row>
    <row r="24" spans="1:37" s="117" customFormat="1" ht="14.25" customHeight="1" x14ac:dyDescent="0.2">
      <c r="A24" s="113" t="s">
        <v>32</v>
      </c>
      <c r="B24" s="118">
        <v>13.195</v>
      </c>
      <c r="C24" s="118">
        <v>12.834</v>
      </c>
      <c r="D24" s="118">
        <v>12.288</v>
      </c>
      <c r="E24" s="118">
        <v>12.146000000000001</v>
      </c>
      <c r="F24" s="118">
        <v>13.566000000000001</v>
      </c>
      <c r="G24" s="120">
        <v>13.941000000000001</v>
      </c>
      <c r="H24" s="118">
        <v>15.426</v>
      </c>
      <c r="I24" s="118">
        <v>16.405000000000001</v>
      </c>
      <c r="J24" s="118">
        <v>15.965</v>
      </c>
      <c r="K24" s="118">
        <v>16.622</v>
      </c>
      <c r="L24" s="118">
        <v>17.094999999999999</v>
      </c>
      <c r="M24" s="118">
        <v>15.82</v>
      </c>
      <c r="N24" s="118">
        <v>14.961</v>
      </c>
      <c r="O24" s="118">
        <v>14.946999999999999</v>
      </c>
      <c r="P24" s="118">
        <v>14.260999999999999</v>
      </c>
      <c r="Q24" s="118">
        <v>15.897</v>
      </c>
      <c r="R24" s="118">
        <v>15.186</v>
      </c>
      <c r="S24" s="50">
        <v>14.337</v>
      </c>
      <c r="T24" s="50"/>
      <c r="U24" s="134">
        <f t="shared" si="3"/>
        <v>0</v>
      </c>
      <c r="AB24" s="81"/>
      <c r="AC24" s="56"/>
      <c r="AD24" s="56"/>
    </row>
    <row r="25" spans="1:37" ht="14.25" customHeight="1" x14ac:dyDescent="0.2">
      <c r="A25" s="114" t="s">
        <v>31</v>
      </c>
      <c r="B25" s="46">
        <f t="shared" ref="B25:J25" si="23">B23+B24</f>
        <v>159.518</v>
      </c>
      <c r="C25" s="46">
        <f t="shared" si="23"/>
        <v>149.31900000000002</v>
      </c>
      <c r="D25" s="46">
        <f t="shared" si="23"/>
        <v>142.73200000000003</v>
      </c>
      <c r="E25" s="46">
        <f t="shared" si="23"/>
        <v>135.15600000000001</v>
      </c>
      <c r="F25" s="46">
        <f t="shared" si="23"/>
        <v>146.54499999999999</v>
      </c>
      <c r="G25" s="46">
        <f t="shared" si="23"/>
        <v>151.83500000000001</v>
      </c>
      <c r="H25" s="46">
        <f t="shared" si="23"/>
        <v>170.09799999999998</v>
      </c>
      <c r="I25" s="46">
        <f t="shared" si="23"/>
        <v>176.31300000000002</v>
      </c>
      <c r="J25" s="46">
        <f t="shared" si="23"/>
        <v>186.78</v>
      </c>
      <c r="K25" s="46">
        <f t="shared" ref="K25:S25" si="24">SUM(K23:K24)</f>
        <v>188.048</v>
      </c>
      <c r="L25" s="46">
        <f t="shared" si="24"/>
        <v>186.93200000000002</v>
      </c>
      <c r="M25" s="46">
        <f t="shared" si="24"/>
        <v>180.94799999999998</v>
      </c>
      <c r="N25" s="46">
        <f t="shared" si="24"/>
        <v>173.86800000000002</v>
      </c>
      <c r="O25" s="46">
        <f t="shared" si="24"/>
        <v>164.33099999999999</v>
      </c>
      <c r="P25" s="46">
        <f t="shared" si="24"/>
        <v>159.202</v>
      </c>
      <c r="Q25" s="46">
        <f t="shared" si="24"/>
        <v>169.08900000000003</v>
      </c>
      <c r="R25" s="46">
        <f t="shared" si="24"/>
        <v>162.77200000000002</v>
      </c>
      <c r="S25" s="46">
        <f t="shared" si="24"/>
        <v>157.92399999999998</v>
      </c>
      <c r="T25" s="46"/>
      <c r="U25" s="133">
        <f t="shared" si="3"/>
        <v>0</v>
      </c>
      <c r="AB25" s="18"/>
      <c r="AC25" s="2"/>
      <c r="AD25" s="2"/>
    </row>
    <row r="26" spans="1:37" s="117" customFormat="1" ht="14.25" customHeight="1" x14ac:dyDescent="0.2">
      <c r="A26" s="115" t="s">
        <v>30</v>
      </c>
      <c r="B26" s="126">
        <v>15.821</v>
      </c>
      <c r="C26" s="126">
        <v>15.180999999999999</v>
      </c>
      <c r="D26" s="126">
        <v>14.45</v>
      </c>
      <c r="E26" s="126">
        <v>14.185</v>
      </c>
      <c r="F26" s="126">
        <v>15.457000000000001</v>
      </c>
      <c r="G26" s="126">
        <v>16.559000000000001</v>
      </c>
      <c r="H26" s="126">
        <v>18.268999999999998</v>
      </c>
      <c r="I26" s="126">
        <v>18.533999999999999</v>
      </c>
      <c r="J26" s="126">
        <v>18.920000000000002</v>
      </c>
      <c r="K26" s="126">
        <v>19.757000000000001</v>
      </c>
      <c r="L26" s="126">
        <v>19.181000000000001</v>
      </c>
      <c r="M26" s="126">
        <v>18.279</v>
      </c>
      <c r="N26" s="126">
        <v>17.428999999999998</v>
      </c>
      <c r="O26" s="126">
        <v>17.277000000000001</v>
      </c>
      <c r="P26" s="126">
        <v>15.971</v>
      </c>
      <c r="Q26" s="126">
        <v>17.308</v>
      </c>
      <c r="R26" s="126">
        <v>16.315000000000001</v>
      </c>
      <c r="S26" s="60">
        <v>16.445</v>
      </c>
      <c r="T26" s="60"/>
      <c r="U26" s="135">
        <f t="shared" si="3"/>
        <v>0</v>
      </c>
      <c r="AB26" s="81"/>
      <c r="AC26" s="56"/>
      <c r="AD26" s="56"/>
    </row>
    <row r="27" spans="1:37" ht="24.75" customHeight="1" x14ac:dyDescent="0.2">
      <c r="A27" s="147" t="s">
        <v>29</v>
      </c>
      <c r="B27" s="149">
        <f t="shared" ref="B27:G27" si="25">B25+B26</f>
        <v>175.339</v>
      </c>
      <c r="C27" s="149">
        <f t="shared" si="25"/>
        <v>164.50000000000003</v>
      </c>
      <c r="D27" s="149">
        <f t="shared" si="25"/>
        <v>157.18200000000002</v>
      </c>
      <c r="E27" s="149">
        <f t="shared" si="25"/>
        <v>149.34100000000001</v>
      </c>
      <c r="F27" s="149">
        <f t="shared" si="25"/>
        <v>162.00199999999998</v>
      </c>
      <c r="G27" s="149">
        <f t="shared" si="25"/>
        <v>168.39400000000001</v>
      </c>
      <c r="H27" s="149">
        <f t="shared" ref="H27:S27" si="26">H4+H6+H8+H10+H12+H14+H16+H18+H20+H22+H24+H26</f>
        <v>188.36699999999999</v>
      </c>
      <c r="I27" s="149">
        <f t="shared" si="26"/>
        <v>194.84700000000001</v>
      </c>
      <c r="J27" s="149">
        <f t="shared" si="26"/>
        <v>205.7</v>
      </c>
      <c r="K27" s="149">
        <f t="shared" si="26"/>
        <v>207.80500000000001</v>
      </c>
      <c r="L27" s="149">
        <f t="shared" si="26"/>
        <v>206.11300000000003</v>
      </c>
      <c r="M27" s="149">
        <f t="shared" si="26"/>
        <v>199.22699999999998</v>
      </c>
      <c r="N27" s="149">
        <f t="shared" si="26"/>
        <v>191.29700000000003</v>
      </c>
      <c r="O27" s="149">
        <f t="shared" si="26"/>
        <v>181.608</v>
      </c>
      <c r="P27" s="149">
        <f t="shared" si="26"/>
        <v>175.173</v>
      </c>
      <c r="Q27" s="149">
        <f t="shared" si="26"/>
        <v>186.39700000000002</v>
      </c>
      <c r="R27" s="149">
        <f t="shared" si="26"/>
        <v>179.08700000000002</v>
      </c>
      <c r="S27" s="149">
        <f t="shared" si="26"/>
        <v>174.36899999999997</v>
      </c>
      <c r="T27" s="149">
        <f>SUM(S27*U15)</f>
        <v>148.3686922045014</v>
      </c>
      <c r="U27" s="151"/>
      <c r="AB27" s="18"/>
      <c r="AC27" s="2"/>
      <c r="AD27" s="2"/>
      <c r="AG27" s="194">
        <f>SUM(AF27*AH15)</f>
        <v>0</v>
      </c>
    </row>
    <row r="28" spans="1:37" ht="14.25" customHeight="1" x14ac:dyDescent="0.25">
      <c r="A28" s="163"/>
      <c r="B28" s="165"/>
      <c r="C28" s="165">
        <f t="shared" ref="C28:R28" si="27">SUM(C27/B27)</f>
        <v>0.93818260626557715</v>
      </c>
      <c r="D28" s="165">
        <f t="shared" si="27"/>
        <v>0.95551367781155006</v>
      </c>
      <c r="E28" s="165">
        <f t="shared" si="27"/>
        <v>0.95011515313458283</v>
      </c>
      <c r="F28" s="165">
        <f t="shared" si="27"/>
        <v>1.0847791296428977</v>
      </c>
      <c r="G28" s="165">
        <f t="shared" si="27"/>
        <v>1.039456303008605</v>
      </c>
      <c r="H28" s="165">
        <f t="shared" si="27"/>
        <v>1.1186087390287065</v>
      </c>
      <c r="I28" s="165">
        <f t="shared" si="27"/>
        <v>1.0344009300992214</v>
      </c>
      <c r="J28" s="165">
        <f t="shared" si="27"/>
        <v>1.0557001134223261</v>
      </c>
      <c r="K28" s="165">
        <f t="shared" si="27"/>
        <v>1.0102333495381624</v>
      </c>
      <c r="L28" s="165">
        <f t="shared" si="27"/>
        <v>0.99185775125718834</v>
      </c>
      <c r="M28" s="165">
        <f t="shared" si="27"/>
        <v>0.96659114175233951</v>
      </c>
      <c r="N28" s="165">
        <f t="shared" si="27"/>
        <v>0.96019615815125481</v>
      </c>
      <c r="O28" s="165">
        <f t="shared" si="27"/>
        <v>0.94935100916376092</v>
      </c>
      <c r="P28" s="165">
        <f t="shared" si="27"/>
        <v>0.96456653891899036</v>
      </c>
      <c r="Q28" s="165">
        <f t="shared" si="27"/>
        <v>1.0640738013278304</v>
      </c>
      <c r="R28" s="165">
        <f t="shared" si="27"/>
        <v>0.96078263062173752</v>
      </c>
      <c r="S28" s="160">
        <f t="shared" ref="S28:T28" si="28">SUM(S27/R27)</f>
        <v>0.97365526252603463</v>
      </c>
      <c r="T28" s="160">
        <f t="shared" si="28"/>
        <v>0.85088916151667682</v>
      </c>
      <c r="U28" s="167"/>
      <c r="X28" s="2"/>
      <c r="AB28" s="18"/>
      <c r="AC28" s="2"/>
      <c r="AD28" s="2"/>
    </row>
    <row r="29" spans="1:37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AB29" s="18"/>
      <c r="AC29" s="2"/>
      <c r="AD29" s="2"/>
    </row>
    <row r="30" spans="1:37" x14ac:dyDescent="0.2">
      <c r="S30" s="173"/>
      <c r="T30" s="173"/>
      <c r="AB30" s="18"/>
      <c r="AC30" s="2"/>
      <c r="AD30" s="2"/>
    </row>
    <row r="31" spans="1:37" x14ac:dyDescent="0.2">
      <c r="S31" s="5"/>
      <c r="T31" s="5"/>
      <c r="AB31" s="18"/>
      <c r="AC31" s="2"/>
      <c r="AD31" s="2"/>
    </row>
    <row r="32" spans="1:37" x14ac:dyDescent="0.2">
      <c r="S32" s="7"/>
      <c r="T32" s="7"/>
      <c r="AB32" s="18"/>
      <c r="AC32" s="2"/>
      <c r="AD32" s="2"/>
    </row>
    <row r="33" spans="19:30" x14ac:dyDescent="0.2">
      <c r="S33" s="8"/>
      <c r="T33" s="8"/>
      <c r="AB33" s="18"/>
      <c r="AC33" s="2"/>
      <c r="AD33" s="2"/>
    </row>
    <row r="34" spans="19:30" x14ac:dyDescent="0.2">
      <c r="S34" s="8"/>
      <c r="T34" s="8"/>
      <c r="AB34" s="18"/>
      <c r="AC34" s="2"/>
      <c r="AD34" s="2"/>
    </row>
    <row r="35" spans="19:30" x14ac:dyDescent="0.2">
      <c r="S35" s="173"/>
      <c r="T35" s="173"/>
      <c r="AB35" s="18"/>
      <c r="AC35" s="2"/>
      <c r="AD35" s="2"/>
    </row>
    <row r="36" spans="19:30" x14ac:dyDescent="0.2">
      <c r="S36" s="173"/>
      <c r="T36" s="173"/>
      <c r="AB36" s="18"/>
      <c r="AC36" s="2"/>
      <c r="AD36" s="2"/>
    </row>
    <row r="37" spans="19:30" x14ac:dyDescent="0.2">
      <c r="S37" s="5"/>
      <c r="T37" s="5"/>
      <c r="AB37" s="18"/>
      <c r="AC37" s="2"/>
      <c r="AD37" s="2"/>
    </row>
    <row r="38" spans="19:30" x14ac:dyDescent="0.2">
      <c r="S38" s="7"/>
      <c r="T38" s="7"/>
      <c r="AB38" s="18"/>
      <c r="AC38" s="2"/>
      <c r="AD38" s="2"/>
    </row>
    <row r="39" spans="19:30" x14ac:dyDescent="0.2">
      <c r="AB39" s="18"/>
      <c r="AC39" s="2"/>
      <c r="AD39" s="2"/>
    </row>
    <row r="40" spans="19:30" x14ac:dyDescent="0.2">
      <c r="S40" s="5"/>
      <c r="T40" s="5"/>
      <c r="AB40" s="2"/>
      <c r="AC40" s="2"/>
      <c r="AD40" s="2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DA4F-F9C5-4FE6-8E5C-A1191208F622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28515625" style="21" bestFit="1" customWidth="1"/>
    <col min="22" max="28" width="9.140625" style="21"/>
    <col min="29" max="29" width="7.140625" style="21" customWidth="1"/>
    <col min="30" max="30" width="10.140625" style="21" customWidth="1"/>
    <col min="31" max="16384" width="9.140625" style="21"/>
  </cols>
  <sheetData>
    <row r="1" spans="1:33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3" ht="15.75" x14ac:dyDescent="0.25">
      <c r="A2" s="207" t="s">
        <v>62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3" ht="14.25" customHeight="1" x14ac:dyDescent="0.2">
      <c r="A3" s="138"/>
      <c r="B3" s="139">
        <v>2006</v>
      </c>
      <c r="C3" s="139">
        <v>2007</v>
      </c>
      <c r="D3" s="139">
        <v>2008</v>
      </c>
      <c r="E3" s="139">
        <v>2009</v>
      </c>
      <c r="F3" s="139">
        <v>2010</v>
      </c>
      <c r="G3" s="139">
        <v>2011</v>
      </c>
      <c r="H3" s="139">
        <v>2012</v>
      </c>
      <c r="I3" s="139" t="s">
        <v>46</v>
      </c>
      <c r="J3" s="139" t="s">
        <v>45</v>
      </c>
      <c r="K3" s="139" t="s">
        <v>44</v>
      </c>
      <c r="L3" s="139" t="s">
        <v>43</v>
      </c>
      <c r="M3" s="139" t="s">
        <v>50</v>
      </c>
      <c r="N3" s="139" t="s">
        <v>51</v>
      </c>
      <c r="O3" s="139" t="s">
        <v>55</v>
      </c>
      <c r="P3" s="139" t="s">
        <v>56</v>
      </c>
      <c r="Q3" s="139" t="s">
        <v>58</v>
      </c>
      <c r="R3" s="139" t="s">
        <v>66</v>
      </c>
      <c r="S3" s="156" t="s">
        <v>67</v>
      </c>
      <c r="T3" s="156" t="s">
        <v>68</v>
      </c>
      <c r="U3" s="140" t="s">
        <v>4</v>
      </c>
    </row>
    <row r="4" spans="1:33" s="117" customFormat="1" ht="14.25" customHeight="1" x14ac:dyDescent="0.2">
      <c r="A4" s="48" t="s">
        <v>42</v>
      </c>
      <c r="B4" s="118">
        <v>29.468</v>
      </c>
      <c r="C4" s="119">
        <v>32.939</v>
      </c>
      <c r="D4" s="119">
        <v>34.295999999999999</v>
      </c>
      <c r="E4" s="119">
        <v>32.978000000000002</v>
      </c>
      <c r="F4" s="119">
        <v>35.624000000000002</v>
      </c>
      <c r="G4" s="120">
        <v>35.69</v>
      </c>
      <c r="H4" s="118">
        <v>36.109000000000002</v>
      </c>
      <c r="I4" s="118">
        <v>39.149000000000001</v>
      </c>
      <c r="J4" s="118">
        <v>40.106000000000002</v>
      </c>
      <c r="K4" s="118">
        <v>43.438000000000002</v>
      </c>
      <c r="L4" s="118">
        <v>42.182000000000002</v>
      </c>
      <c r="M4" s="118">
        <v>43.664999999999999</v>
      </c>
      <c r="N4" s="118">
        <v>45.877000000000002</v>
      </c>
      <c r="O4" s="118">
        <v>45.432000000000002</v>
      </c>
      <c r="P4" s="118">
        <v>46.158000000000001</v>
      </c>
      <c r="Q4" s="118">
        <v>41.957999999999998</v>
      </c>
      <c r="R4" s="118">
        <v>39.945999999999998</v>
      </c>
      <c r="S4" s="196">
        <v>42.45</v>
      </c>
      <c r="T4" s="196">
        <v>39.627000000000002</v>
      </c>
      <c r="U4" s="132">
        <f>T4/S4</f>
        <v>0.9334982332155477</v>
      </c>
    </row>
    <row r="5" spans="1:33" ht="14.25" customHeight="1" x14ac:dyDescent="0.2">
      <c r="A5" s="13" t="s">
        <v>31</v>
      </c>
      <c r="B5" s="121">
        <f t="shared" ref="B5:J5" si="0">B4</f>
        <v>29.468</v>
      </c>
      <c r="C5" s="121">
        <f t="shared" si="0"/>
        <v>32.939</v>
      </c>
      <c r="D5" s="121">
        <f t="shared" si="0"/>
        <v>34.295999999999999</v>
      </c>
      <c r="E5" s="121">
        <f t="shared" si="0"/>
        <v>32.978000000000002</v>
      </c>
      <c r="F5" s="121">
        <f t="shared" si="0"/>
        <v>35.624000000000002</v>
      </c>
      <c r="G5" s="121">
        <f t="shared" si="0"/>
        <v>35.69</v>
      </c>
      <c r="H5" s="121">
        <f t="shared" si="0"/>
        <v>36.109000000000002</v>
      </c>
      <c r="I5" s="121">
        <f t="shared" si="0"/>
        <v>39.149000000000001</v>
      </c>
      <c r="J5" s="121">
        <f t="shared" si="0"/>
        <v>40.106000000000002</v>
      </c>
      <c r="K5" s="121">
        <f t="shared" ref="K5:Q5" si="1">SUM(K4)</f>
        <v>43.438000000000002</v>
      </c>
      <c r="L5" s="121">
        <f t="shared" si="1"/>
        <v>42.182000000000002</v>
      </c>
      <c r="M5" s="121">
        <f t="shared" si="1"/>
        <v>43.664999999999999</v>
      </c>
      <c r="N5" s="121">
        <f t="shared" si="1"/>
        <v>45.877000000000002</v>
      </c>
      <c r="O5" s="121">
        <f t="shared" si="1"/>
        <v>45.432000000000002</v>
      </c>
      <c r="P5" s="121">
        <f t="shared" si="1"/>
        <v>46.158000000000001</v>
      </c>
      <c r="Q5" s="121">
        <f t="shared" si="1"/>
        <v>41.957999999999998</v>
      </c>
      <c r="R5" s="121">
        <f t="shared" ref="R5:T5" si="2">SUM(R4)</f>
        <v>39.945999999999998</v>
      </c>
      <c r="S5" s="121">
        <f t="shared" si="2"/>
        <v>42.45</v>
      </c>
      <c r="T5" s="121">
        <f t="shared" si="2"/>
        <v>39.627000000000002</v>
      </c>
      <c r="U5" s="133">
        <f t="shared" ref="U5:U26" si="3">T5/S5</f>
        <v>0.9334982332155477</v>
      </c>
    </row>
    <row r="6" spans="1:33" s="117" customFormat="1" ht="14.25" customHeight="1" x14ac:dyDescent="0.2">
      <c r="A6" s="48" t="s">
        <v>41</v>
      </c>
      <c r="B6" s="118">
        <v>27.055</v>
      </c>
      <c r="C6" s="118">
        <v>29.66</v>
      </c>
      <c r="D6" s="118">
        <v>32.087000000000003</v>
      </c>
      <c r="E6" s="118">
        <v>31.003</v>
      </c>
      <c r="F6" s="118">
        <v>32.603999999999999</v>
      </c>
      <c r="G6" s="120">
        <v>33.856000000000002</v>
      </c>
      <c r="H6" s="118">
        <v>34.249000000000002</v>
      </c>
      <c r="I6" s="118">
        <v>36.137999999999998</v>
      </c>
      <c r="J6" s="118">
        <v>37.497</v>
      </c>
      <c r="K6" s="118">
        <v>39.954000000000001</v>
      </c>
      <c r="L6" s="118">
        <v>41.531999999999996</v>
      </c>
      <c r="M6" s="118">
        <v>40.301000000000002</v>
      </c>
      <c r="N6" s="118">
        <v>41.884999999999998</v>
      </c>
      <c r="O6" s="118">
        <v>41.691000000000003</v>
      </c>
      <c r="P6" s="118">
        <v>44.164000000000001</v>
      </c>
      <c r="Q6" s="118">
        <v>39.131</v>
      </c>
      <c r="R6" s="118">
        <v>38.81</v>
      </c>
      <c r="S6" s="198">
        <v>35.914000000000001</v>
      </c>
      <c r="T6" s="198">
        <v>38.563000000000002</v>
      </c>
      <c r="U6" s="134">
        <f t="shared" si="3"/>
        <v>1.073759536670936</v>
      </c>
    </row>
    <row r="7" spans="1:33" ht="14.25" customHeight="1" x14ac:dyDescent="0.2">
      <c r="A7" s="13" t="s">
        <v>31</v>
      </c>
      <c r="B7" s="121">
        <f t="shared" ref="B7:J7" si="4">B5+B6</f>
        <v>56.522999999999996</v>
      </c>
      <c r="C7" s="121">
        <f t="shared" si="4"/>
        <v>62.599000000000004</v>
      </c>
      <c r="D7" s="121">
        <f t="shared" si="4"/>
        <v>66.38300000000001</v>
      </c>
      <c r="E7" s="121">
        <f t="shared" si="4"/>
        <v>63.981000000000002</v>
      </c>
      <c r="F7" s="121">
        <f t="shared" si="4"/>
        <v>68.228000000000009</v>
      </c>
      <c r="G7" s="121">
        <f t="shared" si="4"/>
        <v>69.545999999999992</v>
      </c>
      <c r="H7" s="121">
        <f t="shared" si="4"/>
        <v>70.358000000000004</v>
      </c>
      <c r="I7" s="121">
        <f t="shared" si="4"/>
        <v>75.287000000000006</v>
      </c>
      <c r="J7" s="121">
        <f t="shared" si="4"/>
        <v>77.603000000000009</v>
      </c>
      <c r="K7" s="121">
        <f t="shared" ref="K7:T7" si="5">SUM(K5:K6)</f>
        <v>83.391999999999996</v>
      </c>
      <c r="L7" s="121">
        <f t="shared" si="5"/>
        <v>83.713999999999999</v>
      </c>
      <c r="M7" s="121">
        <f t="shared" si="5"/>
        <v>83.966000000000008</v>
      </c>
      <c r="N7" s="121">
        <f t="shared" si="5"/>
        <v>87.762</v>
      </c>
      <c r="O7" s="121">
        <f t="shared" si="5"/>
        <v>87.123000000000005</v>
      </c>
      <c r="P7" s="121">
        <f t="shared" si="5"/>
        <v>90.322000000000003</v>
      </c>
      <c r="Q7" s="121">
        <f t="shared" si="5"/>
        <v>81.088999999999999</v>
      </c>
      <c r="R7" s="121">
        <f t="shared" si="5"/>
        <v>78.756</v>
      </c>
      <c r="S7" s="121">
        <f t="shared" si="5"/>
        <v>78.364000000000004</v>
      </c>
      <c r="T7" s="121">
        <f t="shared" si="5"/>
        <v>78.19</v>
      </c>
      <c r="U7" s="133">
        <f t="shared" si="3"/>
        <v>0.99777959267010352</v>
      </c>
    </row>
    <row r="8" spans="1:33" s="117" customFormat="1" ht="14.25" customHeight="1" x14ac:dyDescent="0.2">
      <c r="A8" s="48" t="s">
        <v>40</v>
      </c>
      <c r="B8" s="122">
        <v>28.225000000000001</v>
      </c>
      <c r="C8" s="122">
        <v>33.911999999999999</v>
      </c>
      <c r="D8" s="122">
        <v>34.22</v>
      </c>
      <c r="E8" s="122">
        <v>34.363999999999997</v>
      </c>
      <c r="F8" s="122">
        <v>37.704000000000001</v>
      </c>
      <c r="G8" s="123">
        <v>36.982999999999997</v>
      </c>
      <c r="H8" s="122">
        <v>37.96</v>
      </c>
      <c r="I8" s="122">
        <v>40.579000000000001</v>
      </c>
      <c r="J8" s="122">
        <v>41.716999999999999</v>
      </c>
      <c r="K8" s="122">
        <v>45.103000000000002</v>
      </c>
      <c r="L8" s="122">
        <v>44.088000000000001</v>
      </c>
      <c r="M8" s="122">
        <v>45.491</v>
      </c>
      <c r="N8" s="122">
        <v>47.344999999999999</v>
      </c>
      <c r="O8" s="122">
        <v>47.104999999999997</v>
      </c>
      <c r="P8" s="122">
        <v>40.674999999999997</v>
      </c>
      <c r="Q8" s="122">
        <v>44.713000000000001</v>
      </c>
      <c r="R8" s="122">
        <v>43.048999999999999</v>
      </c>
      <c r="S8" s="200">
        <v>39.850999999999999</v>
      </c>
      <c r="T8" s="200">
        <v>40.353000000000002</v>
      </c>
      <c r="U8" s="134">
        <f t="shared" si="3"/>
        <v>1.0125969235401873</v>
      </c>
    </row>
    <row r="9" spans="1:33" ht="14.25" customHeight="1" x14ac:dyDescent="0.2">
      <c r="A9" s="13" t="s">
        <v>31</v>
      </c>
      <c r="B9" s="124">
        <f t="shared" ref="B9:J9" si="6">B7+B8</f>
        <v>84.74799999999999</v>
      </c>
      <c r="C9" s="124">
        <f t="shared" si="6"/>
        <v>96.510999999999996</v>
      </c>
      <c r="D9" s="124">
        <f t="shared" si="6"/>
        <v>100.60300000000001</v>
      </c>
      <c r="E9" s="124">
        <f t="shared" si="6"/>
        <v>98.344999999999999</v>
      </c>
      <c r="F9" s="124">
        <f t="shared" si="6"/>
        <v>105.93200000000002</v>
      </c>
      <c r="G9" s="124">
        <f t="shared" si="6"/>
        <v>106.529</v>
      </c>
      <c r="H9" s="124">
        <f t="shared" si="6"/>
        <v>108.31800000000001</v>
      </c>
      <c r="I9" s="121">
        <f t="shared" si="6"/>
        <v>115.86600000000001</v>
      </c>
      <c r="J9" s="121">
        <f t="shared" si="6"/>
        <v>119.32000000000001</v>
      </c>
      <c r="K9" s="121">
        <f t="shared" ref="K9:T9" si="7">SUM(K7:K8)</f>
        <v>128.495</v>
      </c>
      <c r="L9" s="121">
        <f t="shared" si="7"/>
        <v>127.80199999999999</v>
      </c>
      <c r="M9" s="121">
        <f t="shared" si="7"/>
        <v>129.45699999999999</v>
      </c>
      <c r="N9" s="121">
        <f t="shared" si="7"/>
        <v>135.107</v>
      </c>
      <c r="O9" s="121">
        <f t="shared" si="7"/>
        <v>134.22800000000001</v>
      </c>
      <c r="P9" s="121">
        <f t="shared" si="7"/>
        <v>130.99700000000001</v>
      </c>
      <c r="Q9" s="121">
        <f t="shared" si="7"/>
        <v>125.80199999999999</v>
      </c>
      <c r="R9" s="121">
        <f t="shared" si="7"/>
        <v>121.80500000000001</v>
      </c>
      <c r="S9" s="121">
        <f t="shared" si="7"/>
        <v>118.215</v>
      </c>
      <c r="T9" s="121">
        <f t="shared" si="7"/>
        <v>118.54300000000001</v>
      </c>
      <c r="U9" s="133">
        <f t="shared" si="3"/>
        <v>1.002774605591507</v>
      </c>
    </row>
    <row r="10" spans="1:33" s="117" customFormat="1" ht="14.25" customHeight="1" x14ac:dyDescent="0.2">
      <c r="A10" s="48" t="s">
        <v>39</v>
      </c>
      <c r="B10" s="118">
        <v>29.606999999999999</v>
      </c>
      <c r="C10" s="118">
        <v>32.073</v>
      </c>
      <c r="D10" s="118">
        <v>33.213999999999999</v>
      </c>
      <c r="E10" s="118">
        <v>33.078000000000003</v>
      </c>
      <c r="F10" s="118">
        <v>35.872999999999998</v>
      </c>
      <c r="G10" s="120">
        <v>35.476999999999997</v>
      </c>
      <c r="H10" s="118">
        <v>35.857999999999997</v>
      </c>
      <c r="I10" s="118">
        <v>38.893000000000001</v>
      </c>
      <c r="J10" s="118">
        <v>40.274999999999999</v>
      </c>
      <c r="K10" s="118">
        <v>41.795000000000002</v>
      </c>
      <c r="L10" s="118">
        <v>41.368000000000002</v>
      </c>
      <c r="M10" s="118">
        <v>43.024000000000001</v>
      </c>
      <c r="N10" s="118">
        <v>44.564999999999998</v>
      </c>
      <c r="O10" s="118">
        <v>44.767000000000003</v>
      </c>
      <c r="P10" s="118">
        <v>32.889000000000003</v>
      </c>
      <c r="Q10" s="118">
        <v>41.008000000000003</v>
      </c>
      <c r="R10" s="118">
        <v>39.896999999999998</v>
      </c>
      <c r="S10" s="200">
        <v>37.415999999999997</v>
      </c>
      <c r="T10" s="200">
        <v>38.622999999999998</v>
      </c>
      <c r="U10" s="134">
        <f t="shared" si="3"/>
        <v>1.0322589266623905</v>
      </c>
    </row>
    <row r="11" spans="1:33" ht="14.25" customHeight="1" x14ac:dyDescent="0.2">
      <c r="A11" s="13" t="s">
        <v>31</v>
      </c>
      <c r="B11" s="121">
        <f t="shared" ref="B11:J11" si="8">B9+B10</f>
        <v>114.35499999999999</v>
      </c>
      <c r="C11" s="121">
        <f t="shared" si="8"/>
        <v>128.584</v>
      </c>
      <c r="D11" s="121">
        <f t="shared" si="8"/>
        <v>133.81700000000001</v>
      </c>
      <c r="E11" s="121">
        <f t="shared" si="8"/>
        <v>131.423</v>
      </c>
      <c r="F11" s="121">
        <f t="shared" si="8"/>
        <v>141.80500000000001</v>
      </c>
      <c r="G11" s="121">
        <f t="shared" si="8"/>
        <v>142.006</v>
      </c>
      <c r="H11" s="121">
        <f t="shared" si="8"/>
        <v>144.17600000000002</v>
      </c>
      <c r="I11" s="121">
        <f t="shared" si="8"/>
        <v>154.75900000000001</v>
      </c>
      <c r="J11" s="121">
        <f t="shared" si="8"/>
        <v>159.595</v>
      </c>
      <c r="K11" s="121">
        <f t="shared" ref="K11:T11" si="9">SUM(K9:K10)</f>
        <v>170.29000000000002</v>
      </c>
      <c r="L11" s="121">
        <f t="shared" si="9"/>
        <v>169.17</v>
      </c>
      <c r="M11" s="121">
        <f t="shared" si="9"/>
        <v>172.48099999999999</v>
      </c>
      <c r="N11" s="121">
        <f t="shared" si="9"/>
        <v>179.672</v>
      </c>
      <c r="O11" s="121">
        <f t="shared" si="9"/>
        <v>178.995</v>
      </c>
      <c r="P11" s="121">
        <f t="shared" si="9"/>
        <v>163.88600000000002</v>
      </c>
      <c r="Q11" s="121">
        <f t="shared" si="9"/>
        <v>166.81</v>
      </c>
      <c r="R11" s="121">
        <f t="shared" si="9"/>
        <v>161.702</v>
      </c>
      <c r="S11" s="121">
        <f t="shared" si="9"/>
        <v>155.631</v>
      </c>
      <c r="T11" s="121">
        <f t="shared" si="9"/>
        <v>157.166</v>
      </c>
      <c r="U11" s="133">
        <f t="shared" si="3"/>
        <v>1.0098630735521843</v>
      </c>
    </row>
    <row r="12" spans="1:33" s="117" customFormat="1" ht="14.25" customHeight="1" x14ac:dyDescent="0.2">
      <c r="A12" s="48" t="s">
        <v>38</v>
      </c>
      <c r="B12" s="118">
        <v>31.042999999999999</v>
      </c>
      <c r="C12" s="118">
        <v>33.816000000000003</v>
      </c>
      <c r="D12" s="118">
        <v>34.027000000000001</v>
      </c>
      <c r="E12" s="118">
        <v>24.152000000000001</v>
      </c>
      <c r="F12" s="118">
        <v>36.860999999999997</v>
      </c>
      <c r="G12" s="120">
        <v>36.220999999999997</v>
      </c>
      <c r="H12" s="118">
        <v>37.222999999999999</v>
      </c>
      <c r="I12" s="118">
        <v>39.409999999999997</v>
      </c>
      <c r="J12" s="118">
        <v>40.195</v>
      </c>
      <c r="K12" s="118">
        <v>41.991</v>
      </c>
      <c r="L12" s="118">
        <v>41.189</v>
      </c>
      <c r="M12" s="118">
        <v>42.875999999999998</v>
      </c>
      <c r="N12" s="118">
        <v>46.23</v>
      </c>
      <c r="O12" s="118">
        <v>44.232999999999997</v>
      </c>
      <c r="P12" s="125">
        <v>38.564999999999998</v>
      </c>
      <c r="Q12" s="125">
        <v>42.823</v>
      </c>
      <c r="R12" s="125">
        <v>39.563000000000002</v>
      </c>
      <c r="S12" s="200">
        <v>36.936</v>
      </c>
      <c r="T12" s="200">
        <v>38.911000000000001</v>
      </c>
      <c r="U12" s="134">
        <f t="shared" si="3"/>
        <v>1.0534708685293481</v>
      </c>
    </row>
    <row r="13" spans="1:33" ht="14.25" customHeight="1" x14ac:dyDescent="0.2">
      <c r="A13" s="13" t="s">
        <v>31</v>
      </c>
      <c r="B13" s="46">
        <f t="shared" ref="B13:I13" si="10">B11+B12</f>
        <v>145.398</v>
      </c>
      <c r="C13" s="46">
        <f t="shared" si="10"/>
        <v>162.4</v>
      </c>
      <c r="D13" s="46">
        <f t="shared" si="10"/>
        <v>167.84399999999999</v>
      </c>
      <c r="E13" s="46">
        <f t="shared" si="10"/>
        <v>155.57499999999999</v>
      </c>
      <c r="F13" s="46">
        <f t="shared" si="10"/>
        <v>178.666</v>
      </c>
      <c r="G13" s="46">
        <f t="shared" si="10"/>
        <v>178.227</v>
      </c>
      <c r="H13" s="46">
        <f t="shared" si="10"/>
        <v>181.399</v>
      </c>
      <c r="I13" s="121">
        <f t="shared" si="10"/>
        <v>194.16900000000001</v>
      </c>
      <c r="J13" s="121">
        <f t="shared" ref="J13:T13" si="11">SUM(J11:J12)</f>
        <v>199.79</v>
      </c>
      <c r="K13" s="121">
        <f t="shared" si="11"/>
        <v>212.28100000000001</v>
      </c>
      <c r="L13" s="121">
        <f t="shared" si="11"/>
        <v>210.35899999999998</v>
      </c>
      <c r="M13" s="121">
        <f t="shared" si="11"/>
        <v>215.357</v>
      </c>
      <c r="N13" s="121">
        <f t="shared" si="11"/>
        <v>225.90199999999999</v>
      </c>
      <c r="O13" s="121">
        <f t="shared" si="11"/>
        <v>223.22800000000001</v>
      </c>
      <c r="P13" s="121">
        <f t="shared" si="11"/>
        <v>202.45100000000002</v>
      </c>
      <c r="Q13" s="121">
        <f t="shared" si="11"/>
        <v>209.63300000000001</v>
      </c>
      <c r="R13" s="121">
        <f t="shared" si="11"/>
        <v>201.26499999999999</v>
      </c>
      <c r="S13" s="121">
        <f t="shared" si="11"/>
        <v>192.56700000000001</v>
      </c>
      <c r="T13" s="121">
        <f t="shared" si="11"/>
        <v>196.077</v>
      </c>
      <c r="U13" s="133">
        <f t="shared" si="3"/>
        <v>1.0182274221439811</v>
      </c>
    </row>
    <row r="14" spans="1:33" s="117" customFormat="1" ht="14.25" customHeight="1" x14ac:dyDescent="0.2">
      <c r="A14" s="48" t="s">
        <v>37</v>
      </c>
      <c r="B14" s="118">
        <v>29.597999999999999</v>
      </c>
      <c r="C14" s="118">
        <v>31.75</v>
      </c>
      <c r="D14" s="118">
        <v>31.524999999999999</v>
      </c>
      <c r="E14" s="118">
        <v>31.869</v>
      </c>
      <c r="F14" s="118">
        <v>33.938000000000002</v>
      </c>
      <c r="G14" s="120">
        <v>34.356999999999999</v>
      </c>
      <c r="H14" s="118">
        <v>33.533000000000001</v>
      </c>
      <c r="I14" s="118">
        <v>36.92</v>
      </c>
      <c r="J14" s="118">
        <v>37.131999999999998</v>
      </c>
      <c r="K14" s="118">
        <v>40.854999999999997</v>
      </c>
      <c r="L14" s="118">
        <v>38.67</v>
      </c>
      <c r="M14" s="118">
        <v>40.042999999999999</v>
      </c>
      <c r="N14" s="118">
        <v>42.755000000000003</v>
      </c>
      <c r="O14" s="118">
        <v>42.706000000000003</v>
      </c>
      <c r="P14" s="125">
        <v>38.548999999999999</v>
      </c>
      <c r="Q14" s="125">
        <v>40.587000000000003</v>
      </c>
      <c r="R14" s="125">
        <v>36.536000000000001</v>
      </c>
      <c r="S14" s="198">
        <v>35.152000000000001</v>
      </c>
      <c r="T14" s="198">
        <v>35.53</v>
      </c>
      <c r="U14" s="134">
        <f t="shared" si="3"/>
        <v>1.0107532999544835</v>
      </c>
      <c r="AG14" s="117">
        <v>15.692</v>
      </c>
    </row>
    <row r="15" spans="1:33" ht="14.25" customHeight="1" x14ac:dyDescent="0.2">
      <c r="A15" s="13" t="s">
        <v>31</v>
      </c>
      <c r="B15" s="46">
        <f t="shared" ref="B15:I15" si="12">B13+B14</f>
        <v>174.99599999999998</v>
      </c>
      <c r="C15" s="46">
        <f t="shared" si="12"/>
        <v>194.15</v>
      </c>
      <c r="D15" s="46">
        <f t="shared" si="12"/>
        <v>199.369</v>
      </c>
      <c r="E15" s="46">
        <f t="shared" si="12"/>
        <v>187.44399999999999</v>
      </c>
      <c r="F15" s="46">
        <f t="shared" si="12"/>
        <v>212.60399999999998</v>
      </c>
      <c r="G15" s="46">
        <f t="shared" si="12"/>
        <v>212.584</v>
      </c>
      <c r="H15" s="46">
        <f t="shared" si="12"/>
        <v>214.93200000000002</v>
      </c>
      <c r="I15" s="121">
        <f t="shared" si="12"/>
        <v>231.089</v>
      </c>
      <c r="J15" s="121">
        <f t="shared" ref="J15:T15" si="13">SUM(J13:J14)</f>
        <v>236.922</v>
      </c>
      <c r="K15" s="121">
        <f t="shared" si="13"/>
        <v>253.136</v>
      </c>
      <c r="L15" s="121">
        <f t="shared" si="13"/>
        <v>249.029</v>
      </c>
      <c r="M15" s="121">
        <f t="shared" si="13"/>
        <v>255.4</v>
      </c>
      <c r="N15" s="121">
        <f t="shared" si="13"/>
        <v>268.65699999999998</v>
      </c>
      <c r="O15" s="121">
        <f t="shared" si="13"/>
        <v>265.93400000000003</v>
      </c>
      <c r="P15" s="121">
        <f t="shared" si="13"/>
        <v>241.00000000000003</v>
      </c>
      <c r="Q15" s="121">
        <f t="shared" si="13"/>
        <v>250.22000000000003</v>
      </c>
      <c r="R15" s="121">
        <f t="shared" si="13"/>
        <v>237.80099999999999</v>
      </c>
      <c r="S15" s="121">
        <f t="shared" si="13"/>
        <v>227.71899999999999</v>
      </c>
      <c r="T15" s="121">
        <f t="shared" si="13"/>
        <v>231.607</v>
      </c>
      <c r="U15" s="133">
        <f t="shared" si="3"/>
        <v>1.0170736741334716</v>
      </c>
    </row>
    <row r="16" spans="1:33" s="117" customFormat="1" ht="14.25" customHeight="1" x14ac:dyDescent="0.2">
      <c r="A16" s="48" t="s">
        <v>36</v>
      </c>
      <c r="B16" s="118">
        <v>30.734999999999999</v>
      </c>
      <c r="C16" s="118">
        <v>31.321000000000002</v>
      </c>
      <c r="D16" s="118">
        <v>32.128999999999998</v>
      </c>
      <c r="E16" s="118">
        <v>31.8</v>
      </c>
      <c r="F16" s="118">
        <v>33.540999999999997</v>
      </c>
      <c r="G16" s="120">
        <v>33.04</v>
      </c>
      <c r="H16" s="118">
        <v>34.840000000000003</v>
      </c>
      <c r="I16" s="118">
        <v>36.634999999999998</v>
      </c>
      <c r="J16" s="118">
        <v>37.923999999999999</v>
      </c>
      <c r="K16" s="118">
        <v>39.094000000000001</v>
      </c>
      <c r="L16" s="118">
        <v>39.338999999999999</v>
      </c>
      <c r="M16" s="118">
        <v>40.841999999999999</v>
      </c>
      <c r="N16" s="118">
        <v>42.165999999999997</v>
      </c>
      <c r="O16" s="118">
        <v>41.59</v>
      </c>
      <c r="P16" s="118">
        <v>39.197000000000003</v>
      </c>
      <c r="Q16" s="118">
        <v>40.145000000000003</v>
      </c>
      <c r="R16" s="118">
        <v>36.079000000000001</v>
      </c>
      <c r="S16" s="50">
        <v>33.427999999999997</v>
      </c>
      <c r="T16" s="50"/>
      <c r="U16" s="134">
        <f t="shared" si="3"/>
        <v>0</v>
      </c>
    </row>
    <row r="17" spans="1:33" ht="14.25" customHeight="1" x14ac:dyDescent="0.2">
      <c r="A17" s="13" t="s">
        <v>31</v>
      </c>
      <c r="B17" s="46">
        <f t="shared" ref="B17:I17" si="14">B15+B16</f>
        <v>205.73099999999999</v>
      </c>
      <c r="C17" s="46">
        <f t="shared" si="14"/>
        <v>225.471</v>
      </c>
      <c r="D17" s="46">
        <f t="shared" si="14"/>
        <v>231.49799999999999</v>
      </c>
      <c r="E17" s="46">
        <f t="shared" si="14"/>
        <v>219.244</v>
      </c>
      <c r="F17" s="46">
        <f t="shared" si="14"/>
        <v>246.14499999999998</v>
      </c>
      <c r="G17" s="46">
        <f t="shared" si="14"/>
        <v>245.624</v>
      </c>
      <c r="H17" s="46">
        <f t="shared" si="14"/>
        <v>249.77200000000002</v>
      </c>
      <c r="I17" s="121">
        <f t="shared" si="14"/>
        <v>267.72399999999999</v>
      </c>
      <c r="J17" s="121">
        <f t="shared" ref="J17:S17" si="15">SUM(J15:J16)</f>
        <v>274.846</v>
      </c>
      <c r="K17" s="121">
        <f t="shared" si="15"/>
        <v>292.23</v>
      </c>
      <c r="L17" s="121">
        <f t="shared" si="15"/>
        <v>288.36799999999999</v>
      </c>
      <c r="M17" s="121">
        <f t="shared" si="15"/>
        <v>296.24200000000002</v>
      </c>
      <c r="N17" s="121">
        <f t="shared" si="15"/>
        <v>310.82299999999998</v>
      </c>
      <c r="O17" s="121">
        <f t="shared" si="15"/>
        <v>307.524</v>
      </c>
      <c r="P17" s="121">
        <f t="shared" si="15"/>
        <v>280.197</v>
      </c>
      <c r="Q17" s="121">
        <f t="shared" si="15"/>
        <v>290.36500000000001</v>
      </c>
      <c r="R17" s="121">
        <f t="shared" si="15"/>
        <v>273.88</v>
      </c>
      <c r="S17" s="121">
        <f t="shared" si="15"/>
        <v>261.14699999999999</v>
      </c>
      <c r="T17" s="121"/>
      <c r="U17" s="133">
        <f t="shared" si="3"/>
        <v>0</v>
      </c>
    </row>
    <row r="18" spans="1:33" s="117" customFormat="1" ht="14.25" customHeight="1" x14ac:dyDescent="0.2">
      <c r="A18" s="48" t="s">
        <v>35</v>
      </c>
      <c r="B18" s="118">
        <v>30.13</v>
      </c>
      <c r="C18" s="118">
        <v>31.486999999999998</v>
      </c>
      <c r="D18" s="118">
        <v>30.698</v>
      </c>
      <c r="E18" s="118">
        <v>31.641999999999999</v>
      </c>
      <c r="F18" s="118">
        <v>33.945</v>
      </c>
      <c r="G18" s="120">
        <v>34.109000000000002</v>
      </c>
      <c r="H18" s="118">
        <v>35.575000000000003</v>
      </c>
      <c r="I18" s="118">
        <v>37.851999999999997</v>
      </c>
      <c r="J18" s="118">
        <v>38.06</v>
      </c>
      <c r="K18" s="118">
        <v>40.825000000000003</v>
      </c>
      <c r="L18" s="118">
        <v>40.183</v>
      </c>
      <c r="M18" s="118">
        <v>42.325000000000003</v>
      </c>
      <c r="N18" s="118">
        <v>42.087000000000003</v>
      </c>
      <c r="O18" s="118">
        <v>44.295999999999999</v>
      </c>
      <c r="P18" s="118">
        <v>40.090000000000003</v>
      </c>
      <c r="Q18" s="118">
        <v>39.661999999999999</v>
      </c>
      <c r="R18" s="118">
        <v>36.479999999999997</v>
      </c>
      <c r="S18" s="50">
        <v>34.997</v>
      </c>
      <c r="T18" s="50"/>
      <c r="U18" s="134">
        <f t="shared" si="3"/>
        <v>0</v>
      </c>
    </row>
    <row r="19" spans="1:33" ht="14.25" customHeight="1" x14ac:dyDescent="0.2">
      <c r="A19" s="13" t="s">
        <v>31</v>
      </c>
      <c r="B19" s="46">
        <f t="shared" ref="B19:I19" si="16">B17+B18</f>
        <v>235.86099999999999</v>
      </c>
      <c r="C19" s="46">
        <f t="shared" si="16"/>
        <v>256.95800000000003</v>
      </c>
      <c r="D19" s="46">
        <f t="shared" si="16"/>
        <v>262.19599999999997</v>
      </c>
      <c r="E19" s="46">
        <f t="shared" si="16"/>
        <v>250.886</v>
      </c>
      <c r="F19" s="46">
        <f t="shared" si="16"/>
        <v>280.08999999999997</v>
      </c>
      <c r="G19" s="46">
        <f t="shared" si="16"/>
        <v>279.733</v>
      </c>
      <c r="H19" s="46">
        <f t="shared" si="16"/>
        <v>285.34700000000004</v>
      </c>
      <c r="I19" s="121">
        <f t="shared" si="16"/>
        <v>305.57599999999996</v>
      </c>
      <c r="J19" s="121">
        <f>J18+J17</f>
        <v>312.90600000000001</v>
      </c>
      <c r="K19" s="121">
        <f t="shared" ref="K19:S19" si="17">SUM(K17:K18)</f>
        <v>333.05500000000001</v>
      </c>
      <c r="L19" s="121">
        <f t="shared" si="17"/>
        <v>328.55099999999999</v>
      </c>
      <c r="M19" s="121">
        <f t="shared" si="17"/>
        <v>338.56700000000001</v>
      </c>
      <c r="N19" s="121">
        <f t="shared" si="17"/>
        <v>352.90999999999997</v>
      </c>
      <c r="O19" s="121">
        <f t="shared" si="17"/>
        <v>351.82</v>
      </c>
      <c r="P19" s="121">
        <f t="shared" si="17"/>
        <v>320.28700000000003</v>
      </c>
      <c r="Q19" s="121">
        <f t="shared" si="17"/>
        <v>330.02699999999999</v>
      </c>
      <c r="R19" s="121">
        <f t="shared" si="17"/>
        <v>310.36</v>
      </c>
      <c r="S19" s="121">
        <f t="shared" si="17"/>
        <v>296.14400000000001</v>
      </c>
      <c r="T19" s="121"/>
      <c r="U19" s="133">
        <f t="shared" si="3"/>
        <v>0</v>
      </c>
    </row>
    <row r="20" spans="1:33" s="117" customFormat="1" ht="14.25" customHeight="1" x14ac:dyDescent="0.2">
      <c r="A20" s="48" t="s">
        <v>34</v>
      </c>
      <c r="B20" s="118">
        <v>28.919</v>
      </c>
      <c r="C20" s="118">
        <v>30.003</v>
      </c>
      <c r="D20" s="118">
        <v>31.283000000000001</v>
      </c>
      <c r="E20" s="118">
        <v>31.620999999999999</v>
      </c>
      <c r="F20" s="118">
        <v>33.756999999999998</v>
      </c>
      <c r="G20" s="120">
        <v>33.424999999999997</v>
      </c>
      <c r="H20" s="118">
        <v>34.697000000000003</v>
      </c>
      <c r="I20" s="118">
        <v>37.000999999999998</v>
      </c>
      <c r="J20" s="118">
        <v>37.573</v>
      </c>
      <c r="K20" s="118">
        <v>39.311</v>
      </c>
      <c r="L20" s="118">
        <v>39.866</v>
      </c>
      <c r="M20" s="118">
        <v>41.137</v>
      </c>
      <c r="N20" s="118">
        <v>41.23</v>
      </c>
      <c r="O20" s="118">
        <v>42.451999999999998</v>
      </c>
      <c r="P20" s="118">
        <v>39.003999999999998</v>
      </c>
      <c r="Q20" s="118">
        <v>38.860999999999997</v>
      </c>
      <c r="R20" s="118">
        <v>35.250999999999998</v>
      </c>
      <c r="S20" s="50">
        <v>32.957999999999998</v>
      </c>
      <c r="T20" s="50"/>
      <c r="U20" s="134">
        <f t="shared" si="3"/>
        <v>0</v>
      </c>
    </row>
    <row r="21" spans="1:33" ht="14.25" customHeight="1" x14ac:dyDescent="0.2">
      <c r="A21" s="13" t="s">
        <v>31</v>
      </c>
      <c r="B21" s="46">
        <f t="shared" ref="B21:J21" si="18">B19+B20</f>
        <v>264.77999999999997</v>
      </c>
      <c r="C21" s="46">
        <f t="shared" si="18"/>
        <v>286.96100000000001</v>
      </c>
      <c r="D21" s="46">
        <f t="shared" si="18"/>
        <v>293.47899999999998</v>
      </c>
      <c r="E21" s="46">
        <f t="shared" si="18"/>
        <v>282.50700000000001</v>
      </c>
      <c r="F21" s="46">
        <f t="shared" si="18"/>
        <v>313.84699999999998</v>
      </c>
      <c r="G21" s="46">
        <f t="shared" si="18"/>
        <v>313.15800000000002</v>
      </c>
      <c r="H21" s="46">
        <f t="shared" si="18"/>
        <v>320.04400000000004</v>
      </c>
      <c r="I21" s="121">
        <f t="shared" si="18"/>
        <v>342.57699999999994</v>
      </c>
      <c r="J21" s="121">
        <f t="shared" si="18"/>
        <v>350.47899999999998</v>
      </c>
      <c r="K21" s="121">
        <f t="shared" ref="K21:S21" si="19">SUM(K19:K20)</f>
        <v>372.36599999999999</v>
      </c>
      <c r="L21" s="121">
        <f t="shared" si="19"/>
        <v>368.41699999999997</v>
      </c>
      <c r="M21" s="121">
        <f t="shared" si="19"/>
        <v>379.70400000000001</v>
      </c>
      <c r="N21" s="121">
        <f t="shared" si="19"/>
        <v>394.14</v>
      </c>
      <c r="O21" s="121">
        <f t="shared" si="19"/>
        <v>394.27199999999999</v>
      </c>
      <c r="P21" s="121">
        <f t="shared" si="19"/>
        <v>359.29100000000005</v>
      </c>
      <c r="Q21" s="121">
        <f t="shared" si="19"/>
        <v>368.88799999999998</v>
      </c>
      <c r="R21" s="121">
        <f t="shared" si="19"/>
        <v>345.61099999999999</v>
      </c>
      <c r="S21" s="121">
        <f t="shared" si="19"/>
        <v>329.10199999999998</v>
      </c>
      <c r="T21" s="121"/>
      <c r="U21" s="133">
        <f t="shared" si="3"/>
        <v>0</v>
      </c>
    </row>
    <row r="22" spans="1:33" s="117" customFormat="1" ht="14.25" customHeight="1" x14ac:dyDescent="0.2">
      <c r="A22" s="48" t="s">
        <v>33</v>
      </c>
      <c r="B22" s="118">
        <v>31.588000000000001</v>
      </c>
      <c r="C22" s="118">
        <v>31.587</v>
      </c>
      <c r="D22" s="118">
        <v>31.768999999999998</v>
      </c>
      <c r="E22" s="118">
        <v>32.43</v>
      </c>
      <c r="F22" s="118">
        <v>34.368000000000002</v>
      </c>
      <c r="G22" s="120">
        <v>35.643999999999998</v>
      </c>
      <c r="H22" s="118">
        <v>36.402000000000001</v>
      </c>
      <c r="I22" s="118">
        <v>39.723999999999997</v>
      </c>
      <c r="J22" s="118">
        <v>40.79</v>
      </c>
      <c r="K22" s="118">
        <v>41.113999999999997</v>
      </c>
      <c r="L22" s="118">
        <v>40.234000000000002</v>
      </c>
      <c r="M22" s="118">
        <v>43.61</v>
      </c>
      <c r="N22" s="118">
        <v>44.280999999999999</v>
      </c>
      <c r="O22" s="118">
        <v>43.948999999999998</v>
      </c>
      <c r="P22" s="118">
        <v>39.814999999999998</v>
      </c>
      <c r="Q22" s="118">
        <v>39.427999999999997</v>
      </c>
      <c r="R22" s="118">
        <v>37.878</v>
      </c>
      <c r="S22" s="50">
        <v>36.036000000000001</v>
      </c>
      <c r="T22" s="50"/>
      <c r="U22" s="134">
        <f t="shared" si="3"/>
        <v>0</v>
      </c>
    </row>
    <row r="23" spans="1:33" ht="14.25" customHeight="1" x14ac:dyDescent="0.2">
      <c r="A23" s="13" t="s">
        <v>31</v>
      </c>
      <c r="B23" s="46">
        <f t="shared" ref="B23:J23" si="20">B21+B22</f>
        <v>296.36799999999999</v>
      </c>
      <c r="C23" s="46">
        <f t="shared" si="20"/>
        <v>318.548</v>
      </c>
      <c r="D23" s="46">
        <f t="shared" si="20"/>
        <v>325.24799999999999</v>
      </c>
      <c r="E23" s="46">
        <f t="shared" si="20"/>
        <v>314.93700000000001</v>
      </c>
      <c r="F23" s="46">
        <f t="shared" si="20"/>
        <v>348.21499999999997</v>
      </c>
      <c r="G23" s="46">
        <f t="shared" si="20"/>
        <v>348.80200000000002</v>
      </c>
      <c r="H23" s="46">
        <f t="shared" si="20"/>
        <v>356.44600000000003</v>
      </c>
      <c r="I23" s="121">
        <f t="shared" si="20"/>
        <v>382.30099999999993</v>
      </c>
      <c r="J23" s="121">
        <f t="shared" si="20"/>
        <v>391.26900000000001</v>
      </c>
      <c r="K23" s="121">
        <f t="shared" ref="K23:S23" si="21">SUM(K21:K22)</f>
        <v>413.47999999999996</v>
      </c>
      <c r="L23" s="121">
        <f t="shared" si="21"/>
        <v>408.65099999999995</v>
      </c>
      <c r="M23" s="121">
        <f t="shared" si="21"/>
        <v>423.31400000000002</v>
      </c>
      <c r="N23" s="121">
        <f t="shared" si="21"/>
        <v>438.42099999999999</v>
      </c>
      <c r="O23" s="121">
        <f t="shared" si="21"/>
        <v>438.221</v>
      </c>
      <c r="P23" s="121">
        <f t="shared" si="21"/>
        <v>399.10600000000005</v>
      </c>
      <c r="Q23" s="121">
        <f t="shared" si="21"/>
        <v>408.31599999999997</v>
      </c>
      <c r="R23" s="121">
        <f t="shared" si="21"/>
        <v>383.48899999999998</v>
      </c>
      <c r="S23" s="121">
        <f t="shared" si="21"/>
        <v>365.13799999999998</v>
      </c>
      <c r="T23" s="121"/>
      <c r="U23" s="133">
        <f t="shared" si="3"/>
        <v>0</v>
      </c>
    </row>
    <row r="24" spans="1:33" s="117" customFormat="1" ht="14.25" customHeight="1" x14ac:dyDescent="0.2">
      <c r="A24" s="48" t="s">
        <v>32</v>
      </c>
      <c r="B24" s="118">
        <v>30.951000000000001</v>
      </c>
      <c r="C24" s="118">
        <v>31.59</v>
      </c>
      <c r="D24" s="118">
        <v>32.704000000000001</v>
      </c>
      <c r="E24" s="118">
        <v>33.283999999999999</v>
      </c>
      <c r="F24" s="118">
        <v>36.351999999999997</v>
      </c>
      <c r="G24" s="120">
        <v>36.124000000000002</v>
      </c>
      <c r="H24" s="118">
        <v>35.448999999999998</v>
      </c>
      <c r="I24" s="118">
        <v>40.110999999999997</v>
      </c>
      <c r="J24" s="118">
        <v>40.57</v>
      </c>
      <c r="K24" s="118">
        <v>40.994999999999997</v>
      </c>
      <c r="L24" s="118">
        <v>41.136000000000003</v>
      </c>
      <c r="M24" s="118">
        <v>43.962000000000003</v>
      </c>
      <c r="N24" s="118">
        <v>43.686999999999998</v>
      </c>
      <c r="O24" s="118">
        <v>44.725000000000001</v>
      </c>
      <c r="P24" s="118">
        <v>39.835000000000001</v>
      </c>
      <c r="Q24" s="118">
        <v>37.683999999999997</v>
      </c>
      <c r="R24" s="118">
        <v>38.502000000000002</v>
      </c>
      <c r="S24" s="50">
        <v>37.067999999999998</v>
      </c>
      <c r="T24" s="50"/>
      <c r="U24" s="134">
        <f t="shared" si="3"/>
        <v>0</v>
      </c>
    </row>
    <row r="25" spans="1:33" ht="14.25" customHeight="1" x14ac:dyDescent="0.2">
      <c r="A25" s="13" t="s">
        <v>31</v>
      </c>
      <c r="B25" s="46">
        <f t="shared" ref="B25:J25" si="22">B23+B24</f>
        <v>327.31900000000002</v>
      </c>
      <c r="C25" s="46">
        <f t="shared" si="22"/>
        <v>350.13799999999998</v>
      </c>
      <c r="D25" s="46">
        <f t="shared" si="22"/>
        <v>357.952</v>
      </c>
      <c r="E25" s="46">
        <f t="shared" si="22"/>
        <v>348.221</v>
      </c>
      <c r="F25" s="46">
        <f t="shared" si="22"/>
        <v>384.56699999999995</v>
      </c>
      <c r="G25" s="46">
        <f t="shared" si="22"/>
        <v>384.92600000000004</v>
      </c>
      <c r="H25" s="46">
        <f t="shared" si="22"/>
        <v>391.89500000000004</v>
      </c>
      <c r="I25" s="46">
        <f t="shared" si="22"/>
        <v>422.41199999999992</v>
      </c>
      <c r="J25" s="46">
        <f t="shared" si="22"/>
        <v>431.839</v>
      </c>
      <c r="K25" s="46">
        <f t="shared" ref="K25:S25" si="23">SUM(K23:K24)</f>
        <v>454.47499999999997</v>
      </c>
      <c r="L25" s="46">
        <f t="shared" si="23"/>
        <v>449.78699999999998</v>
      </c>
      <c r="M25" s="46">
        <f t="shared" si="23"/>
        <v>467.27600000000001</v>
      </c>
      <c r="N25" s="46">
        <f t="shared" si="23"/>
        <v>482.108</v>
      </c>
      <c r="O25" s="46">
        <f t="shared" si="23"/>
        <v>482.94600000000003</v>
      </c>
      <c r="P25" s="46">
        <f t="shared" si="23"/>
        <v>438.94100000000003</v>
      </c>
      <c r="Q25" s="46">
        <f t="shared" si="23"/>
        <v>446</v>
      </c>
      <c r="R25" s="46">
        <f t="shared" si="23"/>
        <v>421.99099999999999</v>
      </c>
      <c r="S25" s="46">
        <f t="shared" si="23"/>
        <v>402.20599999999996</v>
      </c>
      <c r="T25" s="46"/>
      <c r="U25" s="133">
        <f t="shared" si="3"/>
        <v>0</v>
      </c>
    </row>
    <row r="26" spans="1:33" s="117" customFormat="1" ht="14.25" customHeight="1" x14ac:dyDescent="0.2">
      <c r="A26" s="58" t="s">
        <v>30</v>
      </c>
      <c r="B26" s="126">
        <v>33.198999999999998</v>
      </c>
      <c r="C26" s="126">
        <v>34.633000000000003</v>
      </c>
      <c r="D26" s="126">
        <v>33.584000000000003</v>
      </c>
      <c r="E26" s="126">
        <v>35.460999999999999</v>
      </c>
      <c r="F26" s="126">
        <v>38.052</v>
      </c>
      <c r="G26" s="126">
        <v>37.506</v>
      </c>
      <c r="H26" s="126">
        <v>39.776000000000003</v>
      </c>
      <c r="I26" s="126">
        <v>41.645000000000003</v>
      </c>
      <c r="J26" s="126">
        <v>44.12</v>
      </c>
      <c r="K26" s="126">
        <v>44.433</v>
      </c>
      <c r="L26" s="126">
        <v>42.481000000000002</v>
      </c>
      <c r="M26" s="126">
        <v>46.527999999999999</v>
      </c>
      <c r="N26" s="126">
        <v>46.124000000000002</v>
      </c>
      <c r="O26" s="126">
        <v>46.689</v>
      </c>
      <c r="P26" s="126">
        <v>41.024000000000001</v>
      </c>
      <c r="Q26" s="126">
        <v>40.597999999999999</v>
      </c>
      <c r="R26" s="126">
        <v>39.652000000000001</v>
      </c>
      <c r="S26" s="60">
        <v>39.771999999999998</v>
      </c>
      <c r="T26" s="60"/>
      <c r="U26" s="135">
        <f t="shared" si="3"/>
        <v>0</v>
      </c>
    </row>
    <row r="27" spans="1:33" ht="24.75" customHeight="1" x14ac:dyDescent="0.2">
      <c r="A27" s="202" t="s">
        <v>29</v>
      </c>
      <c r="B27" s="149">
        <f t="shared" ref="B27:H27" si="24">B25+B26</f>
        <v>360.51800000000003</v>
      </c>
      <c r="C27" s="149">
        <f t="shared" si="24"/>
        <v>384.77099999999996</v>
      </c>
      <c r="D27" s="149">
        <f t="shared" si="24"/>
        <v>391.536</v>
      </c>
      <c r="E27" s="149">
        <f t="shared" si="24"/>
        <v>383.68200000000002</v>
      </c>
      <c r="F27" s="149">
        <f t="shared" si="24"/>
        <v>422.61899999999997</v>
      </c>
      <c r="G27" s="149">
        <f t="shared" si="24"/>
        <v>422.43200000000002</v>
      </c>
      <c r="H27" s="149">
        <f t="shared" si="24"/>
        <v>431.67100000000005</v>
      </c>
      <c r="I27" s="149">
        <f t="shared" ref="I27:R27" si="25">I4+I6+I8+I10+I12+I16+I14+I18+I20+I22+I24+I26</f>
        <v>464.0569999999999</v>
      </c>
      <c r="J27" s="149">
        <f t="shared" si="25"/>
        <v>475.959</v>
      </c>
      <c r="K27" s="149">
        <f t="shared" si="25"/>
        <v>498.90799999999996</v>
      </c>
      <c r="L27" s="149">
        <f t="shared" si="25"/>
        <v>492.26799999999997</v>
      </c>
      <c r="M27" s="149">
        <f t="shared" si="25"/>
        <v>513.80399999999997</v>
      </c>
      <c r="N27" s="149">
        <f t="shared" si="25"/>
        <v>528.23199999999997</v>
      </c>
      <c r="O27" s="149">
        <f t="shared" si="25"/>
        <v>529.63499999999999</v>
      </c>
      <c r="P27" s="149">
        <f t="shared" si="25"/>
        <v>479.96500000000003</v>
      </c>
      <c r="Q27" s="149">
        <f t="shared" si="25"/>
        <v>486.59800000000001</v>
      </c>
      <c r="R27" s="149">
        <f t="shared" si="25"/>
        <v>461.64299999999997</v>
      </c>
      <c r="S27" s="149">
        <f t="shared" ref="S27" si="26">S4+S6+S8+S10+S12+S14+S16+S18+S20+S22+S24+S26</f>
        <v>441.97799999999995</v>
      </c>
      <c r="T27" s="149">
        <f>SUM(S27*U15)</f>
        <v>449.52418834616344</v>
      </c>
      <c r="U27" s="151"/>
      <c r="AG27" s="194">
        <f>SUM(AF27*AH15)</f>
        <v>0</v>
      </c>
    </row>
    <row r="28" spans="1:33" ht="14.25" customHeight="1" x14ac:dyDescent="0.2">
      <c r="A28" s="169"/>
      <c r="B28" s="165"/>
      <c r="C28" s="165">
        <f t="shared" ref="C28:R28" si="27">SUM(C27/B27)</f>
        <v>1.0672726465807529</v>
      </c>
      <c r="D28" s="165">
        <f t="shared" si="27"/>
        <v>1.0175818863687753</v>
      </c>
      <c r="E28" s="165">
        <f t="shared" si="27"/>
        <v>0.97994054186588209</v>
      </c>
      <c r="F28" s="165">
        <f t="shared" si="27"/>
        <v>1.1014824776768259</v>
      </c>
      <c r="G28" s="165">
        <f t="shared" si="27"/>
        <v>0.99955752107690388</v>
      </c>
      <c r="H28" s="165">
        <f t="shared" si="27"/>
        <v>1.0218709756836604</v>
      </c>
      <c r="I28" s="165">
        <f t="shared" si="27"/>
        <v>1.0750247294814799</v>
      </c>
      <c r="J28" s="165">
        <f t="shared" si="27"/>
        <v>1.0256477113802833</v>
      </c>
      <c r="K28" s="165">
        <f t="shared" si="27"/>
        <v>1.0482163379618832</v>
      </c>
      <c r="L28" s="165">
        <f t="shared" si="27"/>
        <v>0.98669093299766697</v>
      </c>
      <c r="M28" s="165">
        <f t="shared" si="27"/>
        <v>1.0437485272250075</v>
      </c>
      <c r="N28" s="165">
        <f t="shared" si="27"/>
        <v>1.0280807467438946</v>
      </c>
      <c r="O28" s="165">
        <f t="shared" si="27"/>
        <v>1.0026560299262446</v>
      </c>
      <c r="P28" s="165">
        <f t="shared" si="27"/>
        <v>0.90621843344945108</v>
      </c>
      <c r="Q28" s="165">
        <f t="shared" si="27"/>
        <v>1.0138197576906649</v>
      </c>
      <c r="R28" s="165">
        <f t="shared" si="27"/>
        <v>0.94871536668872447</v>
      </c>
      <c r="S28" s="160">
        <f t="shared" ref="S28:T28" si="28">SUM(S27/R27)</f>
        <v>0.95740214841338434</v>
      </c>
      <c r="T28" s="160">
        <f t="shared" si="28"/>
        <v>1.0170736741334716</v>
      </c>
      <c r="U28" s="171"/>
    </row>
    <row r="29" spans="1:33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</row>
    <row r="30" spans="1:33" x14ac:dyDescent="0.2">
      <c r="S30" s="173"/>
      <c r="T30" s="173"/>
    </row>
    <row r="31" spans="1:33" x14ac:dyDescent="0.2">
      <c r="S31" s="5"/>
      <c r="T31" s="5"/>
    </row>
    <row r="32" spans="1:33" x14ac:dyDescent="0.2">
      <c r="S32" s="7"/>
      <c r="T32" s="7"/>
    </row>
    <row r="33" spans="19:20" x14ac:dyDescent="0.2">
      <c r="S33" s="8"/>
      <c r="T33" s="8"/>
    </row>
    <row r="34" spans="19:20" x14ac:dyDescent="0.2">
      <c r="S34" s="8"/>
      <c r="T34" s="8"/>
    </row>
    <row r="35" spans="19:20" x14ac:dyDescent="0.2">
      <c r="S35" s="173"/>
      <c r="T35" s="173"/>
    </row>
    <row r="36" spans="19:20" x14ac:dyDescent="0.2">
      <c r="S36" s="173"/>
      <c r="T36" s="173"/>
    </row>
    <row r="37" spans="19:20" x14ac:dyDescent="0.2">
      <c r="S37" s="5"/>
      <c r="T37" s="5"/>
    </row>
    <row r="38" spans="19:20" x14ac:dyDescent="0.2">
      <c r="S38" s="7"/>
      <c r="T38" s="7"/>
    </row>
    <row r="40" spans="19:20" x14ac:dyDescent="0.2">
      <c r="S40" s="5"/>
      <c r="T40" s="5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7046-3B36-472F-A83C-BC36BD970148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7109375" style="21" customWidth="1"/>
    <col min="2" max="5" width="7.28515625" style="21" hidden="1" customWidth="1"/>
    <col min="6" max="18" width="7.28515625" style="21" customWidth="1"/>
    <col min="19" max="20" width="7.28515625" style="1" customWidth="1"/>
    <col min="21" max="21" width="8.7109375" style="21" bestFit="1" customWidth="1"/>
    <col min="22" max="25" width="9.140625" style="21"/>
    <col min="26" max="26" width="11" style="21" customWidth="1"/>
    <col min="27" max="27" width="9.140625" style="21"/>
    <col min="28" max="31" width="10.140625" style="21" customWidth="1"/>
    <col min="32" max="16384" width="9.140625" style="21"/>
  </cols>
  <sheetData>
    <row r="1" spans="1:33" ht="20.25" x14ac:dyDescent="0.3">
      <c r="A1" s="206" t="s">
        <v>47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AC1" s="23"/>
    </row>
    <row r="2" spans="1:33" ht="15.75" x14ac:dyDescent="0.25">
      <c r="A2" s="207" t="s">
        <v>61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AB2" s="23"/>
      <c r="AC2" s="23"/>
    </row>
    <row r="3" spans="1:33" ht="14.25" customHeight="1" x14ac:dyDescent="0.25">
      <c r="A3" s="137"/>
      <c r="B3" s="172">
        <v>2006</v>
      </c>
      <c r="C3" s="172">
        <v>2007</v>
      </c>
      <c r="D3" s="172">
        <v>2008</v>
      </c>
      <c r="E3" s="172">
        <v>2009</v>
      </c>
      <c r="F3" s="172">
        <v>2010</v>
      </c>
      <c r="G3" s="172">
        <v>2011</v>
      </c>
      <c r="H3" s="172">
        <v>2012</v>
      </c>
      <c r="I3" s="172" t="s">
        <v>46</v>
      </c>
      <c r="J3" s="172" t="s">
        <v>45</v>
      </c>
      <c r="K3" s="172" t="s">
        <v>44</v>
      </c>
      <c r="L3" s="172" t="s">
        <v>43</v>
      </c>
      <c r="M3" s="172" t="s">
        <v>50</v>
      </c>
      <c r="N3" s="172" t="s">
        <v>51</v>
      </c>
      <c r="O3" s="172" t="s">
        <v>55</v>
      </c>
      <c r="P3" s="172" t="s">
        <v>56</v>
      </c>
      <c r="Q3" s="172" t="s">
        <v>58</v>
      </c>
      <c r="R3" s="172" t="s">
        <v>66</v>
      </c>
      <c r="S3" s="156" t="s">
        <v>67</v>
      </c>
      <c r="T3" s="156" t="s">
        <v>68</v>
      </c>
      <c r="U3" s="140" t="s">
        <v>4</v>
      </c>
      <c r="AB3" s="23"/>
      <c r="AC3" s="23"/>
      <c r="AD3" s="23"/>
      <c r="AE3" s="23"/>
    </row>
    <row r="4" spans="1:33" s="117" customFormat="1" ht="14.25" customHeight="1" x14ac:dyDescent="0.2">
      <c r="A4" s="48" t="s">
        <v>42</v>
      </c>
      <c r="B4" s="118">
        <v>9.1370000000000005</v>
      </c>
      <c r="C4" s="119">
        <v>9.6110000000000007</v>
      </c>
      <c r="D4" s="119">
        <v>10.183</v>
      </c>
      <c r="E4" s="119">
        <v>9.5570000000000004</v>
      </c>
      <c r="F4" s="119">
        <v>9.2840000000000007</v>
      </c>
      <c r="G4" s="120">
        <v>10.63</v>
      </c>
      <c r="H4" s="118">
        <v>10.542</v>
      </c>
      <c r="I4" s="118">
        <v>10.685</v>
      </c>
      <c r="J4" s="118">
        <v>9.6519999999999992</v>
      </c>
      <c r="K4" s="118">
        <v>8.9730000000000008</v>
      </c>
      <c r="L4" s="118">
        <v>8.5839999999999996</v>
      </c>
      <c r="M4" s="118">
        <v>7.5720000000000001</v>
      </c>
      <c r="N4" s="118">
        <v>8.6969999999999992</v>
      </c>
      <c r="O4" s="118">
        <v>7.7229999999999999</v>
      </c>
      <c r="P4" s="118">
        <v>8.4890000000000008</v>
      </c>
      <c r="Q4" s="118">
        <v>7.5670000000000002</v>
      </c>
      <c r="R4" s="118">
        <v>6.8010000000000002</v>
      </c>
      <c r="S4" s="196">
        <v>7.6189999999999998</v>
      </c>
      <c r="T4" s="196">
        <v>6.4180000000000001</v>
      </c>
      <c r="U4" s="132">
        <f>T4/S4</f>
        <v>0.84236776479853004</v>
      </c>
      <c r="Z4" s="145"/>
      <c r="AB4" s="146"/>
      <c r="AC4" s="146"/>
      <c r="AD4" s="146"/>
      <c r="AE4" s="146"/>
    </row>
    <row r="5" spans="1:33" ht="14.25" customHeight="1" x14ac:dyDescent="0.2">
      <c r="A5" s="13" t="s">
        <v>31</v>
      </c>
      <c r="B5" s="121">
        <f t="shared" ref="B5:J5" si="0">B4</f>
        <v>9.1370000000000005</v>
      </c>
      <c r="C5" s="121">
        <f t="shared" si="0"/>
        <v>9.6110000000000007</v>
      </c>
      <c r="D5" s="121">
        <f t="shared" si="0"/>
        <v>10.183</v>
      </c>
      <c r="E5" s="121">
        <f t="shared" si="0"/>
        <v>9.5570000000000004</v>
      </c>
      <c r="F5" s="121">
        <f t="shared" si="0"/>
        <v>9.2840000000000007</v>
      </c>
      <c r="G5" s="121">
        <f t="shared" si="0"/>
        <v>10.63</v>
      </c>
      <c r="H5" s="121">
        <f t="shared" si="0"/>
        <v>10.542</v>
      </c>
      <c r="I5" s="121">
        <f t="shared" si="0"/>
        <v>10.685</v>
      </c>
      <c r="J5" s="121">
        <f t="shared" si="0"/>
        <v>9.6519999999999992</v>
      </c>
      <c r="K5" s="121">
        <f t="shared" ref="K5:Q5" si="1">SUM(K4)</f>
        <v>8.9730000000000008</v>
      </c>
      <c r="L5" s="121">
        <f t="shared" si="1"/>
        <v>8.5839999999999996</v>
      </c>
      <c r="M5" s="121">
        <f t="shared" si="1"/>
        <v>7.5720000000000001</v>
      </c>
      <c r="N5" s="121">
        <f t="shared" si="1"/>
        <v>8.6969999999999992</v>
      </c>
      <c r="O5" s="121">
        <f t="shared" si="1"/>
        <v>7.7229999999999999</v>
      </c>
      <c r="P5" s="121">
        <f t="shared" si="1"/>
        <v>8.4890000000000008</v>
      </c>
      <c r="Q5" s="121">
        <f t="shared" si="1"/>
        <v>7.5670000000000002</v>
      </c>
      <c r="R5" s="121">
        <f t="shared" ref="R5:T5" si="2">SUM(R4)</f>
        <v>6.8010000000000002</v>
      </c>
      <c r="S5" s="121">
        <f t="shared" si="2"/>
        <v>7.6189999999999998</v>
      </c>
      <c r="T5" s="121">
        <f t="shared" si="2"/>
        <v>6.4180000000000001</v>
      </c>
      <c r="U5" s="133">
        <f t="shared" ref="U5:U26" si="3">T5/S5</f>
        <v>0.84236776479853004</v>
      </c>
      <c r="Y5" s="2"/>
      <c r="Z5" s="22"/>
      <c r="AB5" s="23"/>
      <c r="AC5" s="23"/>
      <c r="AD5" s="23"/>
      <c r="AE5" s="23"/>
    </row>
    <row r="6" spans="1:33" s="117" customFormat="1" ht="14.25" customHeight="1" x14ac:dyDescent="0.2">
      <c r="A6" s="48" t="s">
        <v>41</v>
      </c>
      <c r="B6" s="118">
        <v>9.2880000000000003</v>
      </c>
      <c r="C6" s="118">
        <v>9.6769999999999996</v>
      </c>
      <c r="D6" s="118">
        <v>10.019</v>
      </c>
      <c r="E6" s="118">
        <v>9.0709999999999997</v>
      </c>
      <c r="F6" s="118">
        <v>9.2759999999999998</v>
      </c>
      <c r="G6" s="120">
        <v>10.414999999999999</v>
      </c>
      <c r="H6" s="118">
        <v>10.48</v>
      </c>
      <c r="I6" s="118">
        <v>9.8659999999999997</v>
      </c>
      <c r="J6" s="118">
        <v>9.6519999999999992</v>
      </c>
      <c r="K6" s="118">
        <v>8.5530000000000008</v>
      </c>
      <c r="L6" s="118">
        <v>7.7839999999999998</v>
      </c>
      <c r="M6" s="118">
        <v>6.6959999999999997</v>
      </c>
      <c r="N6" s="118">
        <v>8.1219999999999999</v>
      </c>
      <c r="O6" s="118">
        <v>7.0140000000000002</v>
      </c>
      <c r="P6" s="118">
        <v>7.7489999999999997</v>
      </c>
      <c r="Q6" s="118">
        <v>7.3049999999999997</v>
      </c>
      <c r="R6" s="118">
        <v>6.5419999999999998</v>
      </c>
      <c r="S6" s="198">
        <v>6.843</v>
      </c>
      <c r="T6" s="198">
        <v>6.4409999999999998</v>
      </c>
      <c r="U6" s="134">
        <f t="shared" si="3"/>
        <v>0.94125383603682589</v>
      </c>
      <c r="Z6" s="145"/>
      <c r="AB6" s="146"/>
      <c r="AC6" s="146"/>
      <c r="AD6" s="146"/>
      <c r="AE6" s="146"/>
    </row>
    <row r="7" spans="1:33" ht="14.25" customHeight="1" x14ac:dyDescent="0.2">
      <c r="A7" s="13" t="s">
        <v>31</v>
      </c>
      <c r="B7" s="121">
        <f t="shared" ref="B7:J7" si="4">B5+B6</f>
        <v>18.425000000000001</v>
      </c>
      <c r="C7" s="121">
        <f t="shared" si="4"/>
        <v>19.288</v>
      </c>
      <c r="D7" s="121">
        <f t="shared" si="4"/>
        <v>20.201999999999998</v>
      </c>
      <c r="E7" s="121">
        <f t="shared" si="4"/>
        <v>18.628</v>
      </c>
      <c r="F7" s="121">
        <f t="shared" si="4"/>
        <v>18.560000000000002</v>
      </c>
      <c r="G7" s="121">
        <f t="shared" si="4"/>
        <v>21.045000000000002</v>
      </c>
      <c r="H7" s="121">
        <f t="shared" si="4"/>
        <v>21.021999999999998</v>
      </c>
      <c r="I7" s="121">
        <f t="shared" si="4"/>
        <v>20.551000000000002</v>
      </c>
      <c r="J7" s="121">
        <f t="shared" si="4"/>
        <v>19.303999999999998</v>
      </c>
      <c r="K7" s="121">
        <f t="shared" ref="K7:T7" si="5">SUM(K5:K6)</f>
        <v>17.526000000000003</v>
      </c>
      <c r="L7" s="121">
        <f t="shared" si="5"/>
        <v>16.367999999999999</v>
      </c>
      <c r="M7" s="121">
        <f t="shared" si="5"/>
        <v>14.268000000000001</v>
      </c>
      <c r="N7" s="121">
        <f t="shared" si="5"/>
        <v>16.818999999999999</v>
      </c>
      <c r="O7" s="121">
        <f t="shared" si="5"/>
        <v>14.737</v>
      </c>
      <c r="P7" s="121">
        <f t="shared" si="5"/>
        <v>16.238</v>
      </c>
      <c r="Q7" s="121">
        <f t="shared" si="5"/>
        <v>14.872</v>
      </c>
      <c r="R7" s="121">
        <f t="shared" si="5"/>
        <v>13.343</v>
      </c>
      <c r="S7" s="121">
        <f t="shared" si="5"/>
        <v>14.462</v>
      </c>
      <c r="T7" s="121">
        <f t="shared" si="5"/>
        <v>12.859</v>
      </c>
      <c r="U7" s="133">
        <f t="shared" si="3"/>
        <v>0.88915779283639884</v>
      </c>
      <c r="Z7" s="22"/>
      <c r="AB7" s="23"/>
      <c r="AC7" s="23"/>
      <c r="AD7" s="23"/>
      <c r="AE7" s="23"/>
    </row>
    <row r="8" spans="1:33" s="117" customFormat="1" ht="14.25" customHeight="1" x14ac:dyDescent="0.2">
      <c r="A8" s="48" t="s">
        <v>40</v>
      </c>
      <c r="B8" s="122">
        <v>11.285</v>
      </c>
      <c r="C8" s="122">
        <v>11.379</v>
      </c>
      <c r="D8" s="122">
        <v>12.122</v>
      </c>
      <c r="E8" s="122">
        <v>10.401</v>
      </c>
      <c r="F8" s="122">
        <v>11.124000000000001</v>
      </c>
      <c r="G8" s="123">
        <v>12.613</v>
      </c>
      <c r="H8" s="122">
        <v>12.37</v>
      </c>
      <c r="I8" s="122">
        <v>11.298</v>
      </c>
      <c r="J8" s="122">
        <v>11.265000000000001</v>
      </c>
      <c r="K8" s="122">
        <v>9.6349999999999998</v>
      </c>
      <c r="L8" s="122">
        <v>9.4939999999999998</v>
      </c>
      <c r="M8" s="122">
        <v>7.4320000000000004</v>
      </c>
      <c r="N8" s="122">
        <v>9.3650000000000002</v>
      </c>
      <c r="O8" s="122">
        <v>8.7880000000000003</v>
      </c>
      <c r="P8" s="122">
        <v>8.4450000000000003</v>
      </c>
      <c r="Q8" s="122">
        <v>8.6479999999999997</v>
      </c>
      <c r="R8" s="122">
        <v>8.0990000000000002</v>
      </c>
      <c r="S8" s="200">
        <v>8.7319999999999993</v>
      </c>
      <c r="T8" s="200">
        <v>7.3810000000000002</v>
      </c>
      <c r="U8" s="134">
        <f t="shared" si="3"/>
        <v>0.84528172240036659</v>
      </c>
      <c r="Z8" s="145"/>
      <c r="AB8" s="146"/>
      <c r="AC8" s="146"/>
      <c r="AD8" s="146"/>
      <c r="AE8" s="146"/>
    </row>
    <row r="9" spans="1:33" ht="14.25" customHeight="1" x14ac:dyDescent="0.2">
      <c r="A9" s="13" t="s">
        <v>31</v>
      </c>
      <c r="B9" s="124">
        <f t="shared" ref="B9:J9" si="6">B7+B8</f>
        <v>29.71</v>
      </c>
      <c r="C9" s="124">
        <f t="shared" si="6"/>
        <v>30.667000000000002</v>
      </c>
      <c r="D9" s="124">
        <f t="shared" si="6"/>
        <v>32.323999999999998</v>
      </c>
      <c r="E9" s="124">
        <f t="shared" si="6"/>
        <v>29.029</v>
      </c>
      <c r="F9" s="124">
        <f t="shared" si="6"/>
        <v>29.684000000000005</v>
      </c>
      <c r="G9" s="124">
        <f t="shared" si="6"/>
        <v>33.658000000000001</v>
      </c>
      <c r="H9" s="124">
        <f t="shared" si="6"/>
        <v>33.391999999999996</v>
      </c>
      <c r="I9" s="121">
        <f t="shared" si="6"/>
        <v>31.849000000000004</v>
      </c>
      <c r="J9" s="121">
        <f t="shared" si="6"/>
        <v>30.568999999999999</v>
      </c>
      <c r="K9" s="121">
        <f t="shared" ref="K9:T9" si="7">SUM(K7:K8)</f>
        <v>27.161000000000001</v>
      </c>
      <c r="L9" s="121">
        <f t="shared" si="7"/>
        <v>25.861999999999998</v>
      </c>
      <c r="M9" s="121">
        <f t="shared" si="7"/>
        <v>21.700000000000003</v>
      </c>
      <c r="N9" s="121">
        <f t="shared" si="7"/>
        <v>26.183999999999997</v>
      </c>
      <c r="O9" s="121">
        <f t="shared" si="7"/>
        <v>23.524999999999999</v>
      </c>
      <c r="P9" s="121">
        <f t="shared" si="7"/>
        <v>24.683</v>
      </c>
      <c r="Q9" s="121">
        <f t="shared" si="7"/>
        <v>23.52</v>
      </c>
      <c r="R9" s="121">
        <f t="shared" si="7"/>
        <v>21.442</v>
      </c>
      <c r="S9" s="121">
        <f t="shared" si="7"/>
        <v>23.193999999999999</v>
      </c>
      <c r="T9" s="121">
        <f t="shared" si="7"/>
        <v>20.240000000000002</v>
      </c>
      <c r="U9" s="133">
        <f t="shared" si="3"/>
        <v>0.87263947572648115</v>
      </c>
      <c r="Z9" s="22"/>
      <c r="AB9" s="23"/>
      <c r="AC9" s="23"/>
      <c r="AD9" s="23"/>
      <c r="AE9" s="23"/>
    </row>
    <row r="10" spans="1:33" s="117" customFormat="1" ht="14.25" customHeight="1" x14ac:dyDescent="0.2">
      <c r="A10" s="48" t="s">
        <v>39</v>
      </c>
      <c r="B10" s="118">
        <v>9.9770000000000003</v>
      </c>
      <c r="C10" s="118">
        <v>9.5980000000000008</v>
      </c>
      <c r="D10" s="118">
        <v>11.083</v>
      </c>
      <c r="E10" s="118">
        <v>9.4540000000000006</v>
      </c>
      <c r="F10" s="118">
        <v>9.8710000000000004</v>
      </c>
      <c r="G10" s="120">
        <v>10.266999999999999</v>
      </c>
      <c r="H10" s="118">
        <v>10.176</v>
      </c>
      <c r="I10" s="118">
        <v>9.6470000000000002</v>
      </c>
      <c r="J10" s="118">
        <v>8.6869999999999994</v>
      </c>
      <c r="K10" s="118">
        <v>8.2850000000000001</v>
      </c>
      <c r="L10" s="118">
        <v>8.0359999999999996</v>
      </c>
      <c r="M10" s="118">
        <v>7.335</v>
      </c>
      <c r="N10" s="118">
        <v>7.9560000000000004</v>
      </c>
      <c r="O10" s="118">
        <v>7.7370000000000001</v>
      </c>
      <c r="P10" s="118">
        <v>6.8410000000000002</v>
      </c>
      <c r="Q10" s="118">
        <v>7.532</v>
      </c>
      <c r="R10" s="118">
        <v>6.7290000000000001</v>
      </c>
      <c r="S10" s="200">
        <v>7.1680000000000001</v>
      </c>
      <c r="T10" s="200">
        <v>6.5759999999999996</v>
      </c>
      <c r="U10" s="134">
        <f t="shared" si="3"/>
        <v>0.91741071428571419</v>
      </c>
      <c r="Z10" s="145"/>
      <c r="AB10" s="146"/>
      <c r="AC10" s="146"/>
      <c r="AD10" s="146"/>
      <c r="AE10" s="146"/>
    </row>
    <row r="11" spans="1:33" ht="14.25" customHeight="1" x14ac:dyDescent="0.2">
      <c r="A11" s="13" t="s">
        <v>31</v>
      </c>
      <c r="B11" s="121">
        <f t="shared" ref="B11:J11" si="8">B9+B10</f>
        <v>39.686999999999998</v>
      </c>
      <c r="C11" s="121">
        <f t="shared" si="8"/>
        <v>40.265000000000001</v>
      </c>
      <c r="D11" s="121">
        <f t="shared" si="8"/>
        <v>43.406999999999996</v>
      </c>
      <c r="E11" s="121">
        <f t="shared" si="8"/>
        <v>38.483000000000004</v>
      </c>
      <c r="F11" s="121">
        <f t="shared" si="8"/>
        <v>39.555000000000007</v>
      </c>
      <c r="G11" s="121">
        <f t="shared" si="8"/>
        <v>43.924999999999997</v>
      </c>
      <c r="H11" s="121">
        <f t="shared" si="8"/>
        <v>43.567999999999998</v>
      </c>
      <c r="I11" s="121">
        <f t="shared" si="8"/>
        <v>41.496000000000002</v>
      </c>
      <c r="J11" s="121">
        <f t="shared" si="8"/>
        <v>39.256</v>
      </c>
      <c r="K11" s="121">
        <f t="shared" ref="K11:T11" si="9">SUM(K9:K10)</f>
        <v>35.445999999999998</v>
      </c>
      <c r="L11" s="121">
        <f t="shared" si="9"/>
        <v>33.897999999999996</v>
      </c>
      <c r="M11" s="121">
        <f t="shared" si="9"/>
        <v>29.035000000000004</v>
      </c>
      <c r="N11" s="121">
        <f t="shared" si="9"/>
        <v>34.14</v>
      </c>
      <c r="O11" s="121">
        <f t="shared" si="9"/>
        <v>31.262</v>
      </c>
      <c r="P11" s="121">
        <f t="shared" si="9"/>
        <v>31.524000000000001</v>
      </c>
      <c r="Q11" s="121">
        <f t="shared" si="9"/>
        <v>31.052</v>
      </c>
      <c r="R11" s="121">
        <f t="shared" si="9"/>
        <v>28.170999999999999</v>
      </c>
      <c r="S11" s="121">
        <f t="shared" si="9"/>
        <v>30.361999999999998</v>
      </c>
      <c r="T11" s="121">
        <f t="shared" si="9"/>
        <v>26.816000000000003</v>
      </c>
      <c r="U11" s="133">
        <f t="shared" si="3"/>
        <v>0.88320927475133404</v>
      </c>
      <c r="Z11" s="22"/>
      <c r="AB11" s="23"/>
      <c r="AC11" s="23"/>
      <c r="AD11" s="23"/>
      <c r="AE11" s="23"/>
    </row>
    <row r="12" spans="1:33" s="117" customFormat="1" ht="14.25" customHeight="1" x14ac:dyDescent="0.2">
      <c r="A12" s="48" t="s">
        <v>38</v>
      </c>
      <c r="B12" s="118">
        <v>9.4109999999999996</v>
      </c>
      <c r="C12" s="118">
        <v>9.8569999999999993</v>
      </c>
      <c r="D12" s="118">
        <v>10.157999999999999</v>
      </c>
      <c r="E12" s="118">
        <v>9.1449999999999996</v>
      </c>
      <c r="F12" s="118">
        <v>9.3059999999999992</v>
      </c>
      <c r="G12" s="120">
        <v>10.250999999999999</v>
      </c>
      <c r="H12" s="118">
        <v>10.56</v>
      </c>
      <c r="I12" s="118">
        <v>8.3699999999999992</v>
      </c>
      <c r="J12" s="118">
        <v>8.59</v>
      </c>
      <c r="K12" s="118">
        <v>8.1440000000000001</v>
      </c>
      <c r="L12" s="118">
        <v>9.8970000000000002</v>
      </c>
      <c r="M12" s="118">
        <v>8.0470000000000006</v>
      </c>
      <c r="N12" s="118">
        <v>7.9119999999999999</v>
      </c>
      <c r="O12" s="118">
        <v>8.0670000000000002</v>
      </c>
      <c r="P12" s="125">
        <v>7.133</v>
      </c>
      <c r="Q12" s="125">
        <v>7.375</v>
      </c>
      <c r="R12" s="125">
        <v>6.3890000000000002</v>
      </c>
      <c r="S12" s="200">
        <v>7.1360000000000001</v>
      </c>
      <c r="T12" s="200">
        <v>6.4630000000000001</v>
      </c>
      <c r="U12" s="134">
        <f t="shared" si="3"/>
        <v>0.90568946188340804</v>
      </c>
      <c r="Z12" s="145"/>
      <c r="AB12" s="146"/>
      <c r="AC12" s="146"/>
      <c r="AD12" s="146"/>
      <c r="AE12" s="146"/>
    </row>
    <row r="13" spans="1:33" ht="14.25" customHeight="1" x14ac:dyDescent="0.2">
      <c r="A13" s="13" t="s">
        <v>31</v>
      </c>
      <c r="B13" s="46">
        <f t="shared" ref="B13:I13" si="10">B11+B12</f>
        <v>49.097999999999999</v>
      </c>
      <c r="C13" s="46">
        <f t="shared" si="10"/>
        <v>50.122</v>
      </c>
      <c r="D13" s="46">
        <f t="shared" si="10"/>
        <v>53.564999999999998</v>
      </c>
      <c r="E13" s="46">
        <f t="shared" si="10"/>
        <v>47.628</v>
      </c>
      <c r="F13" s="46">
        <f t="shared" si="10"/>
        <v>48.861000000000004</v>
      </c>
      <c r="G13" s="46">
        <f t="shared" si="10"/>
        <v>54.175999999999995</v>
      </c>
      <c r="H13" s="46">
        <f t="shared" si="10"/>
        <v>54.128</v>
      </c>
      <c r="I13" s="121">
        <f t="shared" si="10"/>
        <v>49.866</v>
      </c>
      <c r="J13" s="121">
        <f t="shared" ref="J13:T13" si="11">SUM(J11:J12)</f>
        <v>47.846000000000004</v>
      </c>
      <c r="K13" s="121">
        <f t="shared" si="11"/>
        <v>43.589999999999996</v>
      </c>
      <c r="L13" s="121">
        <f t="shared" si="11"/>
        <v>43.794999999999995</v>
      </c>
      <c r="M13" s="121">
        <f t="shared" si="11"/>
        <v>37.082000000000008</v>
      </c>
      <c r="N13" s="121">
        <f t="shared" si="11"/>
        <v>42.052</v>
      </c>
      <c r="O13" s="121">
        <f t="shared" si="11"/>
        <v>39.329000000000001</v>
      </c>
      <c r="P13" s="121">
        <f t="shared" si="11"/>
        <v>38.657000000000004</v>
      </c>
      <c r="Q13" s="121">
        <f t="shared" si="11"/>
        <v>38.427</v>
      </c>
      <c r="R13" s="121">
        <f t="shared" si="11"/>
        <v>34.56</v>
      </c>
      <c r="S13" s="121">
        <f t="shared" si="11"/>
        <v>37.497999999999998</v>
      </c>
      <c r="T13" s="121">
        <f t="shared" si="11"/>
        <v>33.279000000000003</v>
      </c>
      <c r="U13" s="133">
        <f t="shared" si="3"/>
        <v>0.88748733265774193</v>
      </c>
      <c r="Z13" s="22"/>
      <c r="AB13" s="23"/>
      <c r="AC13" s="23"/>
      <c r="AD13" s="23"/>
      <c r="AE13" s="23"/>
    </row>
    <row r="14" spans="1:33" s="117" customFormat="1" ht="14.25" customHeight="1" x14ac:dyDescent="0.2">
      <c r="A14" s="48" t="s">
        <v>37</v>
      </c>
      <c r="B14" s="118">
        <v>10.701000000000001</v>
      </c>
      <c r="C14" s="118">
        <v>11.002000000000001</v>
      </c>
      <c r="D14" s="118">
        <v>10.616</v>
      </c>
      <c r="E14" s="118">
        <v>9.9350000000000005</v>
      </c>
      <c r="F14" s="118">
        <v>10.352</v>
      </c>
      <c r="G14" s="120">
        <v>11.749000000000001</v>
      </c>
      <c r="H14" s="118">
        <v>11.756</v>
      </c>
      <c r="I14" s="118">
        <v>9.5990000000000002</v>
      </c>
      <c r="J14" s="118">
        <v>9.5440000000000005</v>
      </c>
      <c r="K14" s="118">
        <v>8.9120000000000008</v>
      </c>
      <c r="L14" s="118">
        <v>11.103</v>
      </c>
      <c r="M14" s="118">
        <v>8.5790000000000006</v>
      </c>
      <c r="N14" s="118">
        <v>8.3569999999999993</v>
      </c>
      <c r="O14" s="118">
        <v>9.9160000000000004</v>
      </c>
      <c r="P14" s="125">
        <v>7.8470000000000004</v>
      </c>
      <c r="Q14" s="125">
        <v>7.4729999999999999</v>
      </c>
      <c r="R14" s="125">
        <v>8.6329999999999991</v>
      </c>
      <c r="S14" s="198">
        <v>6.984</v>
      </c>
      <c r="T14" s="198">
        <v>6.3639999999999999</v>
      </c>
      <c r="U14" s="134">
        <f t="shared" si="3"/>
        <v>0.91122565864833904</v>
      </c>
      <c r="Z14" s="145"/>
      <c r="AB14" s="146"/>
      <c r="AC14" s="146"/>
      <c r="AD14" s="146"/>
      <c r="AE14" s="146"/>
      <c r="AG14" s="117">
        <v>15.692</v>
      </c>
    </row>
    <row r="15" spans="1:33" ht="14.25" customHeight="1" x14ac:dyDescent="0.2">
      <c r="A15" s="13" t="s">
        <v>31</v>
      </c>
      <c r="B15" s="46">
        <f t="shared" ref="B15:I15" si="12">B13+B14</f>
        <v>59.798999999999999</v>
      </c>
      <c r="C15" s="46">
        <f t="shared" si="12"/>
        <v>61.124000000000002</v>
      </c>
      <c r="D15" s="46">
        <f t="shared" si="12"/>
        <v>64.180999999999997</v>
      </c>
      <c r="E15" s="46">
        <f t="shared" si="12"/>
        <v>57.563000000000002</v>
      </c>
      <c r="F15" s="46">
        <f t="shared" si="12"/>
        <v>59.213000000000008</v>
      </c>
      <c r="G15" s="46">
        <f t="shared" si="12"/>
        <v>65.924999999999997</v>
      </c>
      <c r="H15" s="46">
        <f t="shared" si="12"/>
        <v>65.884</v>
      </c>
      <c r="I15" s="121">
        <f t="shared" si="12"/>
        <v>59.465000000000003</v>
      </c>
      <c r="J15" s="121">
        <f t="shared" ref="J15:T15" si="13">SUM(J13:J14)</f>
        <v>57.39</v>
      </c>
      <c r="K15" s="121">
        <f t="shared" si="13"/>
        <v>52.501999999999995</v>
      </c>
      <c r="L15" s="121">
        <f t="shared" si="13"/>
        <v>54.897999999999996</v>
      </c>
      <c r="M15" s="121">
        <f t="shared" si="13"/>
        <v>45.661000000000008</v>
      </c>
      <c r="N15" s="121">
        <f t="shared" si="13"/>
        <v>50.408999999999999</v>
      </c>
      <c r="O15" s="121">
        <f t="shared" si="13"/>
        <v>49.245000000000005</v>
      </c>
      <c r="P15" s="121">
        <f t="shared" si="13"/>
        <v>46.504000000000005</v>
      </c>
      <c r="Q15" s="121">
        <f t="shared" si="13"/>
        <v>45.9</v>
      </c>
      <c r="R15" s="121">
        <f t="shared" si="13"/>
        <v>43.192999999999998</v>
      </c>
      <c r="S15" s="121">
        <f t="shared" si="13"/>
        <v>44.481999999999999</v>
      </c>
      <c r="T15" s="121">
        <f t="shared" si="13"/>
        <v>39.643000000000001</v>
      </c>
      <c r="U15" s="133">
        <f t="shared" si="3"/>
        <v>0.89121442381187899</v>
      </c>
      <c r="Z15" s="22"/>
      <c r="AA15" s="26"/>
      <c r="AB15" s="26"/>
      <c r="AC15" s="24"/>
      <c r="AD15" s="25"/>
      <c r="AE15" s="28"/>
      <c r="AF15" s="28"/>
      <c r="AG15" s="28"/>
    </row>
    <row r="16" spans="1:33" s="117" customFormat="1" ht="14.25" customHeight="1" x14ac:dyDescent="0.2">
      <c r="A16" s="48" t="s">
        <v>36</v>
      </c>
      <c r="B16" s="118">
        <v>8.7810000000000006</v>
      </c>
      <c r="C16" s="118">
        <v>9.1530000000000005</v>
      </c>
      <c r="D16" s="118">
        <v>9.1839999999999993</v>
      </c>
      <c r="E16" s="118">
        <v>8.7260000000000009</v>
      </c>
      <c r="F16" s="118">
        <v>9.2379999999999995</v>
      </c>
      <c r="G16" s="120">
        <v>9.343</v>
      </c>
      <c r="H16" s="118">
        <v>9.8390000000000004</v>
      </c>
      <c r="I16" s="118">
        <v>8.3460000000000001</v>
      </c>
      <c r="J16" s="118">
        <v>8.1470000000000002</v>
      </c>
      <c r="K16" s="118">
        <v>7.8159999999999998</v>
      </c>
      <c r="L16" s="118">
        <v>9.4079999999999995</v>
      </c>
      <c r="M16" s="118">
        <v>7.8639999999999999</v>
      </c>
      <c r="N16" s="118">
        <v>7.52</v>
      </c>
      <c r="O16" s="118">
        <v>8.2449999999999992</v>
      </c>
      <c r="P16" s="118">
        <v>7.0860000000000003</v>
      </c>
      <c r="Q16" s="118">
        <v>6.5229999999999997</v>
      </c>
      <c r="R16" s="118">
        <v>7.2590000000000003</v>
      </c>
      <c r="S16" s="50">
        <v>6.31</v>
      </c>
      <c r="T16" s="50"/>
      <c r="U16" s="134">
        <f t="shared" si="3"/>
        <v>0</v>
      </c>
      <c r="Z16" s="145"/>
      <c r="AA16" s="141"/>
      <c r="AB16" s="141"/>
      <c r="AC16" s="142"/>
      <c r="AD16" s="142"/>
      <c r="AE16" s="143"/>
      <c r="AF16" s="143"/>
      <c r="AG16" s="143"/>
    </row>
    <row r="17" spans="1:33" ht="14.25" customHeight="1" x14ac:dyDescent="0.2">
      <c r="A17" s="13" t="s">
        <v>31</v>
      </c>
      <c r="B17" s="46">
        <f t="shared" ref="B17:I17" si="14">B15+B16</f>
        <v>68.58</v>
      </c>
      <c r="C17" s="46">
        <f t="shared" si="14"/>
        <v>70.277000000000001</v>
      </c>
      <c r="D17" s="46">
        <f t="shared" si="14"/>
        <v>73.364999999999995</v>
      </c>
      <c r="E17" s="46">
        <f t="shared" si="14"/>
        <v>66.289000000000001</v>
      </c>
      <c r="F17" s="46">
        <f t="shared" si="14"/>
        <v>68.451000000000008</v>
      </c>
      <c r="G17" s="46">
        <f t="shared" si="14"/>
        <v>75.268000000000001</v>
      </c>
      <c r="H17" s="46">
        <f t="shared" si="14"/>
        <v>75.722999999999999</v>
      </c>
      <c r="I17" s="121">
        <f t="shared" si="14"/>
        <v>67.811000000000007</v>
      </c>
      <c r="J17" s="121">
        <f t="shared" ref="J17:S17" si="15">SUM(J15:J16)</f>
        <v>65.537000000000006</v>
      </c>
      <c r="K17" s="121">
        <f t="shared" si="15"/>
        <v>60.317999999999998</v>
      </c>
      <c r="L17" s="121">
        <f t="shared" si="15"/>
        <v>64.305999999999997</v>
      </c>
      <c r="M17" s="121">
        <f t="shared" si="15"/>
        <v>53.525000000000006</v>
      </c>
      <c r="N17" s="121">
        <f t="shared" si="15"/>
        <v>57.929000000000002</v>
      </c>
      <c r="O17" s="121">
        <f t="shared" si="15"/>
        <v>57.49</v>
      </c>
      <c r="P17" s="121">
        <f t="shared" si="15"/>
        <v>53.59</v>
      </c>
      <c r="Q17" s="121">
        <f t="shared" si="15"/>
        <v>52.423000000000002</v>
      </c>
      <c r="R17" s="121">
        <f t="shared" si="15"/>
        <v>50.451999999999998</v>
      </c>
      <c r="S17" s="121">
        <f t="shared" si="15"/>
        <v>50.792000000000002</v>
      </c>
      <c r="T17" s="121"/>
      <c r="U17" s="133">
        <f t="shared" si="3"/>
        <v>0</v>
      </c>
      <c r="Z17" s="22"/>
      <c r="AA17" s="26"/>
      <c r="AB17" s="26"/>
      <c r="AC17" s="24"/>
      <c r="AD17" s="25"/>
      <c r="AE17" s="28"/>
      <c r="AF17" s="28"/>
      <c r="AG17" s="27"/>
    </row>
    <row r="18" spans="1:33" s="117" customFormat="1" ht="14.25" customHeight="1" x14ac:dyDescent="0.2">
      <c r="A18" s="48" t="s">
        <v>35</v>
      </c>
      <c r="B18" s="118">
        <v>9.61</v>
      </c>
      <c r="C18" s="118">
        <v>9.5470000000000006</v>
      </c>
      <c r="D18" s="118">
        <v>9.2059999999999995</v>
      </c>
      <c r="E18" s="118">
        <v>8.6539999999999999</v>
      </c>
      <c r="F18" s="118">
        <v>8.8780000000000001</v>
      </c>
      <c r="G18" s="120">
        <v>10.039999999999999</v>
      </c>
      <c r="H18" s="118">
        <v>10.164</v>
      </c>
      <c r="I18" s="118">
        <v>8.1310000000000002</v>
      </c>
      <c r="J18" s="118">
        <v>8.4079999999999995</v>
      </c>
      <c r="K18" s="118">
        <v>7.9219999999999997</v>
      </c>
      <c r="L18" s="118">
        <v>9.3279999999999994</v>
      </c>
      <c r="M18" s="118">
        <v>8.0039999999999996</v>
      </c>
      <c r="N18" s="118">
        <v>7.6929999999999996</v>
      </c>
      <c r="O18" s="118">
        <v>7.899</v>
      </c>
      <c r="P18" s="118">
        <v>7.0529999999999999</v>
      </c>
      <c r="Q18" s="118">
        <v>6.8410000000000002</v>
      </c>
      <c r="R18" s="118">
        <v>6.2469999999999999</v>
      </c>
      <c r="S18" s="50">
        <v>6.5170000000000003</v>
      </c>
      <c r="T18" s="50"/>
      <c r="U18" s="134">
        <f t="shared" si="3"/>
        <v>0</v>
      </c>
      <c r="Z18" s="145"/>
      <c r="AA18" s="141"/>
      <c r="AB18" s="141"/>
      <c r="AC18" s="142"/>
      <c r="AD18" s="142"/>
      <c r="AE18" s="143"/>
      <c r="AF18" s="143"/>
      <c r="AG18" s="143"/>
    </row>
    <row r="19" spans="1:33" ht="14.25" customHeight="1" x14ac:dyDescent="0.2">
      <c r="A19" s="13" t="s">
        <v>31</v>
      </c>
      <c r="B19" s="46">
        <f t="shared" ref="B19:I19" si="16">B17+B18</f>
        <v>78.19</v>
      </c>
      <c r="C19" s="46">
        <f t="shared" si="16"/>
        <v>79.823999999999998</v>
      </c>
      <c r="D19" s="46">
        <f t="shared" si="16"/>
        <v>82.570999999999998</v>
      </c>
      <c r="E19" s="46">
        <f t="shared" si="16"/>
        <v>74.942999999999998</v>
      </c>
      <c r="F19" s="46">
        <f t="shared" si="16"/>
        <v>77.329000000000008</v>
      </c>
      <c r="G19" s="46">
        <f t="shared" si="16"/>
        <v>85.307999999999993</v>
      </c>
      <c r="H19" s="46">
        <f t="shared" si="16"/>
        <v>85.887</v>
      </c>
      <c r="I19" s="121">
        <f t="shared" si="16"/>
        <v>75.942000000000007</v>
      </c>
      <c r="J19" s="121">
        <f>J18+J17</f>
        <v>73.945000000000007</v>
      </c>
      <c r="K19" s="121">
        <f t="shared" ref="K19:S19" si="17">SUM(K17:K18)</f>
        <v>68.239999999999995</v>
      </c>
      <c r="L19" s="121">
        <f t="shared" si="17"/>
        <v>73.634</v>
      </c>
      <c r="M19" s="121">
        <f t="shared" si="17"/>
        <v>61.529000000000003</v>
      </c>
      <c r="N19" s="121">
        <f t="shared" si="17"/>
        <v>65.622</v>
      </c>
      <c r="O19" s="121">
        <f t="shared" si="17"/>
        <v>65.388999999999996</v>
      </c>
      <c r="P19" s="121">
        <f t="shared" si="17"/>
        <v>60.643000000000001</v>
      </c>
      <c r="Q19" s="121">
        <f t="shared" si="17"/>
        <v>59.264000000000003</v>
      </c>
      <c r="R19" s="121">
        <f t="shared" si="17"/>
        <v>56.698999999999998</v>
      </c>
      <c r="S19" s="121">
        <f t="shared" si="17"/>
        <v>57.309000000000005</v>
      </c>
      <c r="T19" s="121"/>
      <c r="U19" s="133">
        <f t="shared" si="3"/>
        <v>0</v>
      </c>
      <c r="AA19" s="26"/>
      <c r="AB19" s="26"/>
      <c r="AC19" s="30"/>
      <c r="AD19" s="25"/>
      <c r="AE19" s="28"/>
      <c r="AF19" s="28"/>
      <c r="AG19" s="27"/>
    </row>
    <row r="20" spans="1:33" s="117" customFormat="1" ht="14.25" customHeight="1" x14ac:dyDescent="0.2">
      <c r="A20" s="48" t="s">
        <v>34</v>
      </c>
      <c r="B20" s="118">
        <v>10.35</v>
      </c>
      <c r="C20" s="118">
        <v>10.327999999999999</v>
      </c>
      <c r="D20" s="118">
        <v>10.933</v>
      </c>
      <c r="E20" s="118">
        <v>9.1839999999999993</v>
      </c>
      <c r="F20" s="118">
        <v>9.9429999999999996</v>
      </c>
      <c r="G20" s="120">
        <v>11.769</v>
      </c>
      <c r="H20" s="118">
        <v>11.881</v>
      </c>
      <c r="I20" s="118">
        <v>9.6240000000000006</v>
      </c>
      <c r="J20" s="118">
        <v>10.489000000000001</v>
      </c>
      <c r="K20" s="118">
        <v>9.1519999999999992</v>
      </c>
      <c r="L20" s="118">
        <v>8.9499999999999993</v>
      </c>
      <c r="M20" s="118">
        <v>8.9770000000000003</v>
      </c>
      <c r="N20" s="118">
        <v>7.7460000000000004</v>
      </c>
      <c r="O20" s="118">
        <v>9.2370000000000001</v>
      </c>
      <c r="P20" s="118">
        <v>7.9219999999999997</v>
      </c>
      <c r="Q20" s="118">
        <v>7.2050000000000001</v>
      </c>
      <c r="R20" s="118">
        <v>8.125</v>
      </c>
      <c r="S20" s="50">
        <v>7.0759999999999996</v>
      </c>
      <c r="T20" s="50"/>
      <c r="U20" s="134">
        <f t="shared" si="3"/>
        <v>0</v>
      </c>
      <c r="Z20" s="145"/>
      <c r="AA20" s="144"/>
      <c r="AB20" s="141"/>
      <c r="AC20" s="142"/>
      <c r="AD20" s="142"/>
      <c r="AE20" s="143"/>
      <c r="AF20" s="143"/>
      <c r="AG20" s="143"/>
    </row>
    <row r="21" spans="1:33" ht="14.25" customHeight="1" x14ac:dyDescent="0.2">
      <c r="A21" s="13" t="s">
        <v>31</v>
      </c>
      <c r="B21" s="46">
        <f t="shared" ref="B21:J21" si="18">B19+B20</f>
        <v>88.539999999999992</v>
      </c>
      <c r="C21" s="46">
        <f t="shared" si="18"/>
        <v>90.152000000000001</v>
      </c>
      <c r="D21" s="46">
        <f t="shared" si="18"/>
        <v>93.503999999999991</v>
      </c>
      <c r="E21" s="46">
        <f t="shared" si="18"/>
        <v>84.126999999999995</v>
      </c>
      <c r="F21" s="46">
        <f t="shared" si="18"/>
        <v>87.272000000000006</v>
      </c>
      <c r="G21" s="46">
        <f t="shared" si="18"/>
        <v>97.076999999999998</v>
      </c>
      <c r="H21" s="46">
        <f t="shared" si="18"/>
        <v>97.768000000000001</v>
      </c>
      <c r="I21" s="121">
        <f t="shared" si="18"/>
        <v>85.566000000000003</v>
      </c>
      <c r="J21" s="121">
        <f t="shared" si="18"/>
        <v>84.434000000000012</v>
      </c>
      <c r="K21" s="121">
        <f t="shared" ref="K21:S21" si="19">SUM(K19:K20)</f>
        <v>77.391999999999996</v>
      </c>
      <c r="L21" s="121">
        <f t="shared" si="19"/>
        <v>82.584000000000003</v>
      </c>
      <c r="M21" s="121">
        <f t="shared" si="19"/>
        <v>70.506</v>
      </c>
      <c r="N21" s="121">
        <f t="shared" si="19"/>
        <v>73.367999999999995</v>
      </c>
      <c r="O21" s="121">
        <f t="shared" si="19"/>
        <v>74.625999999999991</v>
      </c>
      <c r="P21" s="121">
        <f t="shared" si="19"/>
        <v>68.564999999999998</v>
      </c>
      <c r="Q21" s="121">
        <f t="shared" si="19"/>
        <v>66.469000000000008</v>
      </c>
      <c r="R21" s="121">
        <f t="shared" si="19"/>
        <v>64.823999999999998</v>
      </c>
      <c r="S21" s="121">
        <f t="shared" si="19"/>
        <v>64.385000000000005</v>
      </c>
      <c r="T21" s="121"/>
      <c r="U21" s="133">
        <f t="shared" si="3"/>
        <v>0</v>
      </c>
      <c r="Z21" s="22"/>
      <c r="AA21" s="26"/>
      <c r="AB21" s="26"/>
      <c r="AC21" s="29"/>
      <c r="AD21" s="25"/>
      <c r="AE21" s="28"/>
      <c r="AF21" s="28"/>
      <c r="AG21" s="27"/>
    </row>
    <row r="22" spans="1:33" s="117" customFormat="1" ht="14.25" customHeight="1" x14ac:dyDescent="0.2">
      <c r="A22" s="48" t="s">
        <v>33</v>
      </c>
      <c r="B22" s="118">
        <v>9.2579999999999991</v>
      </c>
      <c r="C22" s="118">
        <v>8.8979999999999997</v>
      </c>
      <c r="D22" s="118">
        <v>10.622999999999999</v>
      </c>
      <c r="E22" s="118">
        <v>9.4290000000000003</v>
      </c>
      <c r="F22" s="118">
        <v>10.294</v>
      </c>
      <c r="G22" s="120">
        <v>10.411</v>
      </c>
      <c r="H22" s="118">
        <v>10.103</v>
      </c>
      <c r="I22" s="118">
        <v>7.9749999999999996</v>
      </c>
      <c r="J22" s="118">
        <v>9.2390000000000008</v>
      </c>
      <c r="K22" s="118">
        <v>8.7330000000000005</v>
      </c>
      <c r="L22" s="118">
        <v>8.4250000000000007</v>
      </c>
      <c r="M22" s="118">
        <v>8.07</v>
      </c>
      <c r="N22" s="118">
        <v>7.069</v>
      </c>
      <c r="O22" s="118">
        <v>8.5690000000000008</v>
      </c>
      <c r="P22" s="118">
        <v>7.7759999999999998</v>
      </c>
      <c r="Q22" s="118">
        <v>7.2560000000000002</v>
      </c>
      <c r="R22" s="118">
        <v>7.883</v>
      </c>
      <c r="S22" s="50">
        <v>6.51</v>
      </c>
      <c r="T22" s="50"/>
      <c r="U22" s="134">
        <f t="shared" si="3"/>
        <v>0</v>
      </c>
      <c r="Z22" s="145"/>
      <c r="AA22" s="141"/>
      <c r="AB22" s="141"/>
      <c r="AC22" s="142"/>
      <c r="AD22" s="142"/>
      <c r="AE22" s="142"/>
      <c r="AF22" s="142"/>
      <c r="AG22" s="142"/>
    </row>
    <row r="23" spans="1:33" ht="14.25" customHeight="1" x14ac:dyDescent="0.2">
      <c r="A23" s="13" t="s">
        <v>31</v>
      </c>
      <c r="B23" s="46">
        <f t="shared" ref="B23:J23" si="20">B21+B22</f>
        <v>97.797999999999988</v>
      </c>
      <c r="C23" s="46">
        <f t="shared" si="20"/>
        <v>99.05</v>
      </c>
      <c r="D23" s="46">
        <f t="shared" si="20"/>
        <v>104.127</v>
      </c>
      <c r="E23" s="46">
        <f t="shared" si="20"/>
        <v>93.555999999999997</v>
      </c>
      <c r="F23" s="46">
        <f t="shared" si="20"/>
        <v>97.566000000000003</v>
      </c>
      <c r="G23" s="46">
        <f t="shared" si="20"/>
        <v>107.488</v>
      </c>
      <c r="H23" s="46">
        <f t="shared" si="20"/>
        <v>107.871</v>
      </c>
      <c r="I23" s="121">
        <f t="shared" si="20"/>
        <v>93.540999999999997</v>
      </c>
      <c r="J23" s="121">
        <f t="shared" si="20"/>
        <v>93.673000000000016</v>
      </c>
      <c r="K23" s="121">
        <f t="shared" ref="K23:S23" si="21">SUM(K21:K22)</f>
        <v>86.125</v>
      </c>
      <c r="L23" s="121">
        <f t="shared" si="21"/>
        <v>91.009</v>
      </c>
      <c r="M23" s="121">
        <f t="shared" si="21"/>
        <v>78.575999999999993</v>
      </c>
      <c r="N23" s="121">
        <f t="shared" si="21"/>
        <v>80.436999999999998</v>
      </c>
      <c r="O23" s="121">
        <f t="shared" si="21"/>
        <v>83.194999999999993</v>
      </c>
      <c r="P23" s="121">
        <f t="shared" si="21"/>
        <v>76.340999999999994</v>
      </c>
      <c r="Q23" s="121">
        <f t="shared" si="21"/>
        <v>73.725000000000009</v>
      </c>
      <c r="R23" s="121">
        <f t="shared" si="21"/>
        <v>72.706999999999994</v>
      </c>
      <c r="S23" s="121">
        <f t="shared" si="21"/>
        <v>70.89500000000001</v>
      </c>
      <c r="T23" s="121"/>
      <c r="U23" s="133">
        <f t="shared" si="3"/>
        <v>0</v>
      </c>
      <c r="Z23" s="22"/>
      <c r="AB23" s="23"/>
      <c r="AC23" s="23"/>
      <c r="AE23" s="23"/>
    </row>
    <row r="24" spans="1:33" s="117" customFormat="1" ht="14.25" customHeight="1" x14ac:dyDescent="0.2">
      <c r="A24" s="48" t="s">
        <v>32</v>
      </c>
      <c r="B24" s="118">
        <v>9.3409999999999993</v>
      </c>
      <c r="C24" s="118">
        <v>10.324999999999999</v>
      </c>
      <c r="D24" s="118">
        <v>8.891</v>
      </c>
      <c r="E24" s="118">
        <v>9.9830000000000005</v>
      </c>
      <c r="F24" s="118">
        <v>9.3559999999999999</v>
      </c>
      <c r="G24" s="120">
        <v>10.670999999999999</v>
      </c>
      <c r="H24" s="118">
        <v>10.17</v>
      </c>
      <c r="I24" s="118">
        <v>8.6859999999999999</v>
      </c>
      <c r="J24" s="118">
        <v>8.7940000000000005</v>
      </c>
      <c r="K24" s="118">
        <v>8.2669999999999995</v>
      </c>
      <c r="L24" s="118">
        <v>7.78</v>
      </c>
      <c r="M24" s="118">
        <v>8.6050000000000004</v>
      </c>
      <c r="N24" s="118">
        <v>8.0250000000000004</v>
      </c>
      <c r="O24" s="118">
        <v>7.9950000000000001</v>
      </c>
      <c r="P24" s="118">
        <v>7.516</v>
      </c>
      <c r="Q24" s="118">
        <v>6.4210000000000003</v>
      </c>
      <c r="R24" s="118">
        <v>7.8869999999999996</v>
      </c>
      <c r="S24" s="50">
        <v>6.7130000000000001</v>
      </c>
      <c r="T24" s="50"/>
      <c r="U24" s="134">
        <f t="shared" si="3"/>
        <v>0</v>
      </c>
      <c r="Z24" s="145"/>
      <c r="AB24" s="146"/>
      <c r="AC24" s="146"/>
      <c r="AE24" s="145"/>
    </row>
    <row r="25" spans="1:33" ht="14.25" customHeight="1" x14ac:dyDescent="0.2">
      <c r="A25" s="13" t="s">
        <v>31</v>
      </c>
      <c r="B25" s="46">
        <f t="shared" ref="B25:J25" si="22">B23+B24</f>
        <v>107.13899999999998</v>
      </c>
      <c r="C25" s="46">
        <f t="shared" si="22"/>
        <v>109.375</v>
      </c>
      <c r="D25" s="46">
        <f t="shared" si="22"/>
        <v>113.018</v>
      </c>
      <c r="E25" s="46">
        <f t="shared" si="22"/>
        <v>103.539</v>
      </c>
      <c r="F25" s="46">
        <f t="shared" si="22"/>
        <v>106.922</v>
      </c>
      <c r="G25" s="46">
        <f t="shared" si="22"/>
        <v>118.15899999999999</v>
      </c>
      <c r="H25" s="46">
        <f t="shared" si="22"/>
        <v>118.041</v>
      </c>
      <c r="I25" s="46">
        <f t="shared" si="22"/>
        <v>102.227</v>
      </c>
      <c r="J25" s="46">
        <f t="shared" si="22"/>
        <v>102.46700000000001</v>
      </c>
      <c r="K25" s="46">
        <f t="shared" ref="K25:S25" si="23">SUM(K23:K24)</f>
        <v>94.391999999999996</v>
      </c>
      <c r="L25" s="46">
        <f t="shared" si="23"/>
        <v>98.789000000000001</v>
      </c>
      <c r="M25" s="46">
        <f t="shared" si="23"/>
        <v>87.180999999999997</v>
      </c>
      <c r="N25" s="46">
        <f t="shared" si="23"/>
        <v>88.462000000000003</v>
      </c>
      <c r="O25" s="46">
        <f t="shared" si="23"/>
        <v>91.19</v>
      </c>
      <c r="P25" s="46">
        <f t="shared" si="23"/>
        <v>83.856999999999999</v>
      </c>
      <c r="Q25" s="46">
        <f t="shared" si="23"/>
        <v>80.146000000000015</v>
      </c>
      <c r="R25" s="46">
        <f t="shared" si="23"/>
        <v>80.593999999999994</v>
      </c>
      <c r="S25" s="46">
        <f t="shared" si="23"/>
        <v>77.608000000000004</v>
      </c>
      <c r="T25" s="46"/>
      <c r="U25" s="133">
        <f t="shared" si="3"/>
        <v>0</v>
      </c>
      <c r="Z25" s="22"/>
      <c r="AB25" s="23"/>
      <c r="AE25" s="23"/>
    </row>
    <row r="26" spans="1:33" s="117" customFormat="1" ht="14.25" customHeight="1" x14ac:dyDescent="0.2">
      <c r="A26" s="58" t="s">
        <v>30</v>
      </c>
      <c r="B26" s="126">
        <v>11.302</v>
      </c>
      <c r="C26" s="126">
        <v>11.670999999999999</v>
      </c>
      <c r="D26" s="126">
        <v>10.387</v>
      </c>
      <c r="E26" s="126">
        <v>10.736000000000001</v>
      </c>
      <c r="F26" s="126">
        <v>12.193</v>
      </c>
      <c r="G26" s="126">
        <v>12.635999999999999</v>
      </c>
      <c r="H26" s="126">
        <v>12.164999999999999</v>
      </c>
      <c r="I26" s="126">
        <v>10.86</v>
      </c>
      <c r="J26" s="126">
        <v>9.9610000000000003</v>
      </c>
      <c r="K26" s="126">
        <v>9.8680000000000003</v>
      </c>
      <c r="L26" s="126">
        <v>8.7550000000000008</v>
      </c>
      <c r="M26" s="126">
        <v>9.6530000000000005</v>
      </c>
      <c r="N26" s="126">
        <v>8.3810000000000002</v>
      </c>
      <c r="O26" s="126">
        <v>9.8040000000000003</v>
      </c>
      <c r="P26" s="126">
        <v>7.2370000000000001</v>
      </c>
      <c r="Q26" s="126">
        <v>8.0050000000000008</v>
      </c>
      <c r="R26" s="126">
        <v>8.7330000000000005</v>
      </c>
      <c r="S26" s="60">
        <v>7.5039999999999996</v>
      </c>
      <c r="T26" s="60"/>
      <c r="U26" s="135">
        <f t="shared" si="3"/>
        <v>0</v>
      </c>
      <c r="Z26" s="145"/>
      <c r="AE26" s="146"/>
    </row>
    <row r="27" spans="1:33" ht="24.75" customHeight="1" x14ac:dyDescent="0.2">
      <c r="A27" s="202" t="s">
        <v>29</v>
      </c>
      <c r="B27" s="149">
        <f t="shared" ref="B27:R27" si="24">B4+B8+B10+B12+B14+B16+B18+B20+B22+B24+B26+B6</f>
        <v>118.44099999999999</v>
      </c>
      <c r="C27" s="149">
        <f t="shared" si="24"/>
        <v>121.04599999999999</v>
      </c>
      <c r="D27" s="149">
        <f t="shared" si="24"/>
        <v>123.405</v>
      </c>
      <c r="E27" s="149">
        <f t="shared" si="24"/>
        <v>114.27500000000001</v>
      </c>
      <c r="F27" s="149">
        <f t="shared" si="24"/>
        <v>119.11499999999998</v>
      </c>
      <c r="G27" s="149">
        <f t="shared" si="24"/>
        <v>130.79499999999999</v>
      </c>
      <c r="H27" s="149">
        <f t="shared" si="24"/>
        <v>130.20599999999999</v>
      </c>
      <c r="I27" s="149">
        <f t="shared" si="24"/>
        <v>113.08699999999999</v>
      </c>
      <c r="J27" s="149">
        <f t="shared" si="24"/>
        <v>112.428</v>
      </c>
      <c r="K27" s="149">
        <f t="shared" si="24"/>
        <v>104.25999999999999</v>
      </c>
      <c r="L27" s="149">
        <f t="shared" si="24"/>
        <v>107.544</v>
      </c>
      <c r="M27" s="149">
        <f t="shared" si="24"/>
        <v>96.834000000000003</v>
      </c>
      <c r="N27" s="149">
        <f t="shared" si="24"/>
        <v>96.843000000000004</v>
      </c>
      <c r="O27" s="149">
        <f t="shared" si="24"/>
        <v>100.994</v>
      </c>
      <c r="P27" s="149">
        <f t="shared" si="24"/>
        <v>91.093999999999994</v>
      </c>
      <c r="Q27" s="149">
        <f t="shared" si="24"/>
        <v>88.150999999999982</v>
      </c>
      <c r="R27" s="149">
        <f t="shared" si="24"/>
        <v>89.326999999999998</v>
      </c>
      <c r="S27" s="149">
        <f t="shared" ref="S27" si="25">S4+S6+S8+S10+S12+S14+S16+S18+S20+S22+S24+S26</f>
        <v>85.112000000000009</v>
      </c>
      <c r="T27" s="149">
        <f>SUM(S27*U15)</f>
        <v>75.853042039476648</v>
      </c>
      <c r="U27" s="151"/>
      <c r="Z27" s="22"/>
      <c r="AG27" s="194">
        <f>SUM(AF27*AH15)</f>
        <v>0</v>
      </c>
    </row>
    <row r="28" spans="1:33" ht="14.25" customHeight="1" x14ac:dyDescent="0.2">
      <c r="A28" s="169"/>
      <c r="B28" s="170"/>
      <c r="C28" s="165">
        <f t="shared" ref="C28:R28" si="26">SUM(C27/B27)</f>
        <v>1.0219940729983705</v>
      </c>
      <c r="D28" s="165">
        <f t="shared" si="26"/>
        <v>1.0194884589329678</v>
      </c>
      <c r="E28" s="165">
        <f t="shared" si="26"/>
        <v>0.92601596369677086</v>
      </c>
      <c r="F28" s="165">
        <f t="shared" si="26"/>
        <v>1.0423539706847516</v>
      </c>
      <c r="G28" s="165">
        <f t="shared" si="26"/>
        <v>1.0980565000209881</v>
      </c>
      <c r="H28" s="165">
        <f t="shared" si="26"/>
        <v>0.99549676975419554</v>
      </c>
      <c r="I28" s="165">
        <f t="shared" si="26"/>
        <v>0.86852372394513311</v>
      </c>
      <c r="J28" s="165">
        <f t="shared" si="26"/>
        <v>0.99417262815354557</v>
      </c>
      <c r="K28" s="165">
        <f t="shared" si="26"/>
        <v>0.92734905895328557</v>
      </c>
      <c r="L28" s="165">
        <f t="shared" si="26"/>
        <v>1.0314981776328411</v>
      </c>
      <c r="M28" s="165">
        <f t="shared" si="26"/>
        <v>0.90041285427359974</v>
      </c>
      <c r="N28" s="165">
        <f t="shared" si="26"/>
        <v>1.0000929425614971</v>
      </c>
      <c r="O28" s="165">
        <f t="shared" si="26"/>
        <v>1.0428631909379098</v>
      </c>
      <c r="P28" s="165">
        <f t="shared" si="26"/>
        <v>0.9019743747153296</v>
      </c>
      <c r="Q28" s="165">
        <f t="shared" si="26"/>
        <v>0.96769271302171367</v>
      </c>
      <c r="R28" s="165">
        <f t="shared" si="26"/>
        <v>1.0133407448582548</v>
      </c>
      <c r="S28" s="160">
        <f t="shared" ref="S28:T28" si="27">SUM(S27/R27)</f>
        <v>0.95281381889014527</v>
      </c>
      <c r="T28" s="160">
        <f t="shared" si="27"/>
        <v>0.89121442381187899</v>
      </c>
      <c r="U28" s="171"/>
      <c r="Z28" s="22"/>
    </row>
    <row r="29" spans="1:33" ht="16.5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Z29" s="22"/>
    </row>
    <row r="30" spans="1:33" x14ac:dyDescent="0.2">
      <c r="S30" s="173"/>
      <c r="T30" s="173"/>
      <c r="Z30" s="22"/>
    </row>
    <row r="31" spans="1:33" x14ac:dyDescent="0.2">
      <c r="S31" s="5"/>
      <c r="T31" s="5"/>
      <c r="Z31" s="22"/>
    </row>
    <row r="32" spans="1:33" x14ac:dyDescent="0.2">
      <c r="S32" s="7"/>
      <c r="T32" s="7"/>
      <c r="Z32" s="22"/>
    </row>
    <row r="33" spans="19:26" x14ac:dyDescent="0.2">
      <c r="S33" s="8"/>
      <c r="T33" s="8"/>
      <c r="Z33" s="22"/>
    </row>
    <row r="34" spans="19:26" x14ac:dyDescent="0.2">
      <c r="S34" s="8"/>
      <c r="T34" s="8"/>
      <c r="Z34" s="22"/>
    </row>
    <row r="35" spans="19:26" x14ac:dyDescent="0.2">
      <c r="S35" s="173"/>
      <c r="T35" s="173"/>
      <c r="Z35" s="22"/>
    </row>
    <row r="36" spans="19:26" x14ac:dyDescent="0.2">
      <c r="S36" s="173"/>
      <c r="T36" s="173"/>
      <c r="Z36" s="22"/>
    </row>
    <row r="37" spans="19:26" x14ac:dyDescent="0.2">
      <c r="S37" s="5"/>
      <c r="T37" s="5"/>
      <c r="Z37" s="22"/>
    </row>
    <row r="38" spans="19:26" x14ac:dyDescent="0.2">
      <c r="S38" s="7"/>
      <c r="T38" s="7"/>
      <c r="Z38" s="22"/>
    </row>
    <row r="39" spans="19:26" x14ac:dyDescent="0.2">
      <c r="Z39" s="22"/>
    </row>
    <row r="40" spans="19:26" x14ac:dyDescent="0.2">
      <c r="S40" s="5"/>
      <c r="T40" s="5"/>
    </row>
  </sheetData>
  <mergeCells count="2">
    <mergeCell ref="A1:U1"/>
    <mergeCell ref="A2:U2"/>
  </mergeCells>
  <pageMargins left="0.7" right="0.7" top="0.75" bottom="0.75" header="0.3" footer="0.3"/>
  <pageSetup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9828-5133-474E-AF79-9200B6137EA8}">
  <sheetPr>
    <tabColor rgb="FF0070C0"/>
  </sheetPr>
  <dimension ref="A4:AG70"/>
  <sheetViews>
    <sheetView topLeftCell="A43" zoomScaleNormal="100" workbookViewId="0">
      <selection activeCell="AG27" sqref="AG27"/>
    </sheetView>
  </sheetViews>
  <sheetFormatPr defaultRowHeight="12.75" x14ac:dyDescent="0.2"/>
  <cols>
    <col min="1" max="1" width="9.140625" style="21"/>
    <col min="2" max="2" width="15.85546875" style="21" customWidth="1"/>
    <col min="3" max="3" width="11.7109375" style="21" customWidth="1"/>
    <col min="4" max="4" width="14" style="21" customWidth="1"/>
    <col min="5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</row>
    <row r="27" spans="2:33" x14ac:dyDescent="0.2">
      <c r="AG27" s="21">
        <f>SUM(AF27*AH15)</f>
        <v>0</v>
      </c>
    </row>
    <row r="38" spans="1:5" ht="75.75" customHeight="1" x14ac:dyDescent="0.2">
      <c r="B38" s="41"/>
      <c r="C38" s="41"/>
      <c r="D38" s="41"/>
    </row>
    <row r="39" spans="1:5" ht="13.5" x14ac:dyDescent="0.25">
      <c r="A39" s="176"/>
      <c r="B39" s="174" t="s">
        <v>1</v>
      </c>
      <c r="C39" s="174" t="s">
        <v>2</v>
      </c>
      <c r="D39" s="174" t="s">
        <v>3</v>
      </c>
      <c r="E39" s="176"/>
    </row>
    <row r="40" spans="1:5" ht="13.5" x14ac:dyDescent="0.25">
      <c r="A40" s="177" t="s">
        <v>8</v>
      </c>
      <c r="B40" s="175">
        <v>489900000</v>
      </c>
      <c r="C40" s="175">
        <v>4060000</v>
      </c>
      <c r="D40" s="175">
        <f t="shared" ref="D40:D69" si="0">SUM(B40+C40)</f>
        <v>493960000</v>
      </c>
      <c r="E40" s="176"/>
    </row>
    <row r="41" spans="1:5" ht="13.5" x14ac:dyDescent="0.25">
      <c r="A41" s="177" t="s">
        <v>9</v>
      </c>
      <c r="B41" s="175">
        <v>509300000</v>
      </c>
      <c r="C41" s="175">
        <v>5720000</v>
      </c>
      <c r="D41" s="175">
        <f t="shared" si="0"/>
        <v>515020000</v>
      </c>
      <c r="E41" s="176"/>
    </row>
    <row r="42" spans="1:5" ht="13.5" x14ac:dyDescent="0.25">
      <c r="A42" s="177" t="s">
        <v>10</v>
      </c>
      <c r="B42" s="175">
        <v>519730000</v>
      </c>
      <c r="C42" s="175">
        <v>9940000</v>
      </c>
      <c r="D42" s="175">
        <f t="shared" si="0"/>
        <v>529670000</v>
      </c>
      <c r="E42" s="176"/>
    </row>
    <row r="43" spans="1:5" ht="13.5" x14ac:dyDescent="0.25">
      <c r="A43" s="177" t="s">
        <v>11</v>
      </c>
      <c r="B43" s="175">
        <v>564990000</v>
      </c>
      <c r="C43" s="175">
        <v>15450000</v>
      </c>
      <c r="D43" s="175">
        <f t="shared" si="0"/>
        <v>580440000</v>
      </c>
      <c r="E43" s="176"/>
    </row>
    <row r="44" spans="1:5" ht="13.5" x14ac:dyDescent="0.25">
      <c r="A44" s="177" t="s">
        <v>12</v>
      </c>
      <c r="B44" s="175">
        <v>591710000</v>
      </c>
      <c r="C44" s="175">
        <v>22840000</v>
      </c>
      <c r="D44" s="175">
        <f t="shared" si="0"/>
        <v>614550000</v>
      </c>
      <c r="E44" s="176"/>
    </row>
    <row r="45" spans="1:5" ht="13.5" x14ac:dyDescent="0.25">
      <c r="A45" s="177" t="s">
        <v>13</v>
      </c>
      <c r="B45" s="175">
        <v>623312000</v>
      </c>
      <c r="C45" s="175">
        <v>25960000</v>
      </c>
      <c r="D45" s="175">
        <f t="shared" si="0"/>
        <v>649272000</v>
      </c>
      <c r="E45" s="176"/>
    </row>
    <row r="46" spans="1:5" ht="13.5" x14ac:dyDescent="0.25">
      <c r="A46" s="177" t="s">
        <v>14</v>
      </c>
      <c r="B46" s="175">
        <v>648775000</v>
      </c>
      <c r="C46" s="175">
        <v>37995000</v>
      </c>
      <c r="D46" s="175">
        <f t="shared" si="0"/>
        <v>686770000</v>
      </c>
      <c r="E46" s="176"/>
    </row>
    <row r="47" spans="1:5" ht="13.5" x14ac:dyDescent="0.25">
      <c r="A47" s="177" t="s">
        <v>15</v>
      </c>
      <c r="B47" s="175">
        <v>631870000</v>
      </c>
      <c r="C47" s="175">
        <v>43550000</v>
      </c>
      <c r="D47" s="175">
        <f t="shared" si="0"/>
        <v>675420000</v>
      </c>
      <c r="E47" s="176"/>
    </row>
    <row r="48" spans="1:5" ht="13.5" x14ac:dyDescent="0.25">
      <c r="A48" s="177" t="s">
        <v>16</v>
      </c>
      <c r="B48" s="175">
        <v>638880000</v>
      </c>
      <c r="C48" s="175">
        <v>50899704.761904761</v>
      </c>
      <c r="D48" s="175">
        <f t="shared" si="0"/>
        <v>689779704.76190472</v>
      </c>
      <c r="E48" s="176"/>
    </row>
    <row r="49" spans="1:5" ht="13.5" x14ac:dyDescent="0.25">
      <c r="A49" s="177" t="s">
        <v>17</v>
      </c>
      <c r="B49" s="175">
        <v>656953556</v>
      </c>
      <c r="C49" s="175">
        <v>59697493.886968553</v>
      </c>
      <c r="D49" s="175">
        <f t="shared" si="0"/>
        <v>716651049.88696861</v>
      </c>
      <c r="E49" s="176"/>
    </row>
    <row r="50" spans="1:5" ht="13.5" x14ac:dyDescent="0.25">
      <c r="A50" s="177" t="s">
        <v>18</v>
      </c>
      <c r="B50" s="175">
        <v>675963429</v>
      </c>
      <c r="C50" s="175">
        <v>63676294.421221994</v>
      </c>
      <c r="D50" s="175">
        <f t="shared" si="0"/>
        <v>739639723.42122197</v>
      </c>
      <c r="E50" s="176"/>
    </row>
    <row r="51" spans="1:5" ht="13.5" x14ac:dyDescent="0.25">
      <c r="A51" s="177" t="s">
        <v>19</v>
      </c>
      <c r="B51" s="175">
        <v>647653438</v>
      </c>
      <c r="C51" s="175">
        <v>71693357.114207327</v>
      </c>
      <c r="D51" s="175">
        <f t="shared" si="0"/>
        <v>719346795.11420727</v>
      </c>
      <c r="E51" s="176"/>
    </row>
    <row r="52" spans="1:5" ht="13.5" x14ac:dyDescent="0.25">
      <c r="A52" s="177" t="s">
        <v>20</v>
      </c>
      <c r="B52" s="178">
        <v>654295090.27857149</v>
      </c>
      <c r="C52" s="178">
        <v>73029558.509002</v>
      </c>
      <c r="D52" s="175">
        <f t="shared" si="0"/>
        <v>727324648.78757346</v>
      </c>
      <c r="E52" s="176"/>
    </row>
    <row r="53" spans="1:5" ht="13.5" x14ac:dyDescent="0.25">
      <c r="A53" s="177" t="s">
        <v>21</v>
      </c>
      <c r="B53" s="178">
        <v>670320908.74720919</v>
      </c>
      <c r="C53" s="178">
        <v>81603702.511627913</v>
      </c>
      <c r="D53" s="175">
        <f t="shared" si="0"/>
        <v>751924611.2588371</v>
      </c>
      <c r="E53" s="176"/>
    </row>
    <row r="54" spans="1:5" ht="13.5" x14ac:dyDescent="0.25">
      <c r="A54" s="177" t="s">
        <v>0</v>
      </c>
      <c r="B54" s="178">
        <v>671760569.61000001</v>
      </c>
      <c r="C54" s="178">
        <v>83183162</v>
      </c>
      <c r="D54" s="175">
        <f t="shared" si="0"/>
        <v>754943731.61000001</v>
      </c>
      <c r="E54" s="176"/>
    </row>
    <row r="55" spans="1:5" ht="13.5" x14ac:dyDescent="0.25">
      <c r="A55" s="177" t="s">
        <v>22</v>
      </c>
      <c r="B55" s="178">
        <v>656296449.80999994</v>
      </c>
      <c r="C55" s="178">
        <v>85084570</v>
      </c>
      <c r="D55" s="175">
        <f t="shared" si="0"/>
        <v>741381019.80999994</v>
      </c>
      <c r="E55" s="176"/>
    </row>
    <row r="56" spans="1:5" ht="13.5" x14ac:dyDescent="0.25">
      <c r="A56" s="177" t="s">
        <v>23</v>
      </c>
      <c r="B56" s="178">
        <v>703716570.50999999</v>
      </c>
      <c r="C56" s="178">
        <v>92390238</v>
      </c>
      <c r="D56" s="175">
        <f t="shared" si="0"/>
        <v>796106808.50999999</v>
      </c>
      <c r="E56" s="176"/>
    </row>
    <row r="57" spans="1:5" ht="13.5" x14ac:dyDescent="0.25">
      <c r="A57" s="177" t="s">
        <v>24</v>
      </c>
      <c r="B57" s="178">
        <v>721594535.56999993</v>
      </c>
      <c r="C57" s="178">
        <v>88537774</v>
      </c>
      <c r="D57" s="175">
        <f t="shared" si="0"/>
        <v>810132309.56999993</v>
      </c>
      <c r="E57" s="176"/>
    </row>
    <row r="58" spans="1:5" ht="13.5" x14ac:dyDescent="0.25">
      <c r="A58" s="177" t="s">
        <v>25</v>
      </c>
      <c r="B58" s="178">
        <v>749479653</v>
      </c>
      <c r="C58" s="178">
        <v>99126506</v>
      </c>
      <c r="D58" s="175">
        <f t="shared" si="0"/>
        <v>848606159</v>
      </c>
      <c r="E58" s="176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5">
        <f t="shared" si="0"/>
        <v>872862794.99000001</v>
      </c>
      <c r="E59" s="176"/>
    </row>
    <row r="60" spans="1:5" ht="13.5" x14ac:dyDescent="0.25">
      <c r="A60" s="179" t="s">
        <v>45</v>
      </c>
      <c r="B60" s="178">
        <v>794087706.91000009</v>
      </c>
      <c r="C60" s="178">
        <v>103307752</v>
      </c>
      <c r="D60" s="175">
        <f t="shared" si="0"/>
        <v>897395458.91000009</v>
      </c>
      <c r="E60" s="176"/>
    </row>
    <row r="61" spans="1:5" ht="13.5" x14ac:dyDescent="0.25">
      <c r="A61" s="179" t="s">
        <v>44</v>
      </c>
      <c r="B61" s="178">
        <v>810973172</v>
      </c>
      <c r="C61" s="178">
        <v>114162606</v>
      </c>
      <c r="D61" s="175">
        <f t="shared" si="0"/>
        <v>925135778</v>
      </c>
      <c r="E61" s="176"/>
    </row>
    <row r="62" spans="1:5" ht="13.5" x14ac:dyDescent="0.25">
      <c r="A62" s="181">
        <v>2016</v>
      </c>
      <c r="B62" s="178">
        <v>805942429.81818175</v>
      </c>
      <c r="C62" s="178">
        <v>125562383</v>
      </c>
      <c r="D62" s="175">
        <f t="shared" si="0"/>
        <v>931504812.81818175</v>
      </c>
      <c r="E62" s="176"/>
    </row>
    <row r="63" spans="1:5" ht="13.5" x14ac:dyDescent="0.25">
      <c r="A63" s="179" t="s">
        <v>50</v>
      </c>
      <c r="B63" s="177">
        <v>809865466.72727275</v>
      </c>
      <c r="C63" s="177">
        <v>135506544</v>
      </c>
      <c r="D63" s="175">
        <f t="shared" si="0"/>
        <v>945372010.72727275</v>
      </c>
      <c r="E63" s="176"/>
    </row>
    <row r="64" spans="1:5" ht="13.5" x14ac:dyDescent="0.25">
      <c r="A64" s="181">
        <v>2018</v>
      </c>
      <c r="B64" s="177">
        <v>816374282.44999993</v>
      </c>
      <c r="C64" s="177">
        <v>149687000</v>
      </c>
      <c r="D64" s="175">
        <f t="shared" si="0"/>
        <v>966061282.44999993</v>
      </c>
      <c r="E64" s="176"/>
    </row>
    <row r="65" spans="1:5" ht="13.5" x14ac:dyDescent="0.25">
      <c r="A65" s="181">
        <v>2019</v>
      </c>
      <c r="B65" s="177">
        <v>811494774</v>
      </c>
      <c r="C65" s="177">
        <v>167785373</v>
      </c>
      <c r="D65" s="175">
        <f t="shared" si="0"/>
        <v>979280147</v>
      </c>
      <c r="E65" s="176"/>
    </row>
    <row r="66" spans="1:5" ht="13.5" x14ac:dyDescent="0.25">
      <c r="A66" s="181">
        <v>2020</v>
      </c>
      <c r="B66" s="177">
        <v>746300000</v>
      </c>
      <c r="C66" s="177">
        <v>181160000</v>
      </c>
      <c r="D66" s="175">
        <f t="shared" si="0"/>
        <v>927460000</v>
      </c>
      <c r="E66" s="176" t="s">
        <v>59</v>
      </c>
    </row>
    <row r="67" spans="1:5" ht="13.5" x14ac:dyDescent="0.25">
      <c r="A67" s="181">
        <v>2021</v>
      </c>
      <c r="B67" s="177">
        <v>760986000</v>
      </c>
      <c r="C67" s="177">
        <v>196783000</v>
      </c>
      <c r="D67" s="175">
        <f t="shared" si="0"/>
        <v>957769000</v>
      </c>
      <c r="E67" s="176"/>
    </row>
    <row r="68" spans="1:5" ht="13.5" x14ac:dyDescent="0.25">
      <c r="A68" s="181">
        <v>2022</v>
      </c>
      <c r="B68" s="177">
        <v>730056000</v>
      </c>
      <c r="C68" s="177">
        <v>205809000</v>
      </c>
      <c r="D68" s="175">
        <f t="shared" si="0"/>
        <v>935865000</v>
      </c>
    </row>
    <row r="69" spans="1:5" ht="13.5" x14ac:dyDescent="0.25">
      <c r="A69" s="181">
        <v>2023</v>
      </c>
      <c r="B69" s="177">
        <v>692901000</v>
      </c>
      <c r="C69" s="177">
        <v>194971000</v>
      </c>
      <c r="D69" s="175">
        <f t="shared" si="0"/>
        <v>887872000</v>
      </c>
    </row>
    <row r="70" spans="1:5" ht="13.5" x14ac:dyDescent="0.25">
      <c r="A70" s="176" t="s">
        <v>69</v>
      </c>
      <c r="B70" s="177">
        <v>674260000</v>
      </c>
      <c r="C70" s="177">
        <v>201265000</v>
      </c>
      <c r="D70" s="175">
        <f t="shared" ref="D70" si="1">SUM(B70+C70)</f>
        <v>875525000</v>
      </c>
    </row>
  </sheetData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C70F-D038-475C-95A4-830DB2300E60}">
  <dimension ref="A4:AG70"/>
  <sheetViews>
    <sheetView topLeftCell="A45" zoomScaleNormal="100" workbookViewId="0">
      <selection activeCell="AG27" sqref="AG27"/>
    </sheetView>
  </sheetViews>
  <sheetFormatPr defaultRowHeight="12.75" x14ac:dyDescent="0.2"/>
  <cols>
    <col min="1" max="1" width="9.140625" style="21"/>
    <col min="2" max="2" width="12.5703125" style="21" customWidth="1"/>
    <col min="3" max="3" width="11.7109375" style="21" customWidth="1"/>
    <col min="4" max="4" width="12.42578125" style="21" customWidth="1"/>
    <col min="5" max="15" width="9.140625" style="21"/>
    <col min="16" max="16" width="11.85546875" style="21" customWidth="1"/>
    <col min="17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  <c r="O4" s="21">
        <v>54.183999999999997</v>
      </c>
      <c r="P4" s="21">
        <v>56.255000000000003</v>
      </c>
    </row>
    <row r="6" spans="2:33" x14ac:dyDescent="0.2">
      <c r="B6" s="21">
        <v>27.055</v>
      </c>
      <c r="C6" s="21">
        <v>29.66</v>
      </c>
      <c r="D6" s="21">
        <v>32.087000000000003</v>
      </c>
      <c r="O6" s="21">
        <v>51.372999999999998</v>
      </c>
      <c r="P6" s="21">
        <v>52.447000000000003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  <c r="O8" s="21">
        <v>57.21</v>
      </c>
      <c r="P8" s="21">
        <v>61.359000000000002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O10" s="21">
        <v>54.466999999999999</v>
      </c>
      <c r="P10" s="21">
        <v>54.920999999999999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  <c r="O12" s="21">
        <v>55.09</v>
      </c>
      <c r="P12" s="21">
        <v>57.152000000000001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O14" s="21">
        <v>55.790999999999997</v>
      </c>
      <c r="P14" s="21">
        <v>57.581000000000003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  <c r="O16" s="21">
        <v>52.13</v>
      </c>
      <c r="P16" s="21">
        <v>52.883000000000003</v>
      </c>
    </row>
    <row r="18" spans="2:33" x14ac:dyDescent="0.2">
      <c r="B18" s="21">
        <v>30.13</v>
      </c>
      <c r="C18" s="21">
        <v>31.486999999999998</v>
      </c>
      <c r="D18" s="21">
        <v>30.698</v>
      </c>
      <c r="O18" s="21">
        <v>52.488</v>
      </c>
      <c r="P18" s="21">
        <v>53.646000000000001</v>
      </c>
    </row>
    <row r="20" spans="2:33" x14ac:dyDescent="0.2">
      <c r="B20" s="21">
        <v>28.919</v>
      </c>
      <c r="C20" s="21">
        <v>30.003</v>
      </c>
      <c r="D20" s="21">
        <v>31.283000000000001</v>
      </c>
      <c r="O20" s="21">
        <v>54.046999999999997</v>
      </c>
      <c r="P20" s="21">
        <v>55.036000000000001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  <c r="O22" s="21">
        <v>53.704999999999998</v>
      </c>
      <c r="P22" s="21">
        <v>52.808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  <c r="O24" s="21">
        <v>53.487000000000002</v>
      </c>
      <c r="P24" s="21">
        <v>54.747999999999998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O26" s="21">
        <v>60.323</v>
      </c>
      <c r="P26" s="21">
        <v>61.484999999999999</v>
      </c>
    </row>
    <row r="27" spans="2:33" x14ac:dyDescent="0.2">
      <c r="AG27" s="21">
        <f>SUM(AF27*AH15)</f>
        <v>0</v>
      </c>
    </row>
    <row r="38" spans="1:5" ht="55.5" customHeight="1" x14ac:dyDescent="0.2"/>
    <row r="39" spans="1:5" ht="13.5" x14ac:dyDescent="0.25">
      <c r="A39" s="176"/>
      <c r="B39" s="174" t="s">
        <v>1</v>
      </c>
      <c r="C39" s="174" t="s">
        <v>2</v>
      </c>
      <c r="D39" s="174" t="s">
        <v>3</v>
      </c>
      <c r="E39" s="176"/>
    </row>
    <row r="40" spans="1:5" ht="13.5" x14ac:dyDescent="0.25">
      <c r="A40" s="177" t="s">
        <v>8</v>
      </c>
      <c r="B40" s="175">
        <v>489900000</v>
      </c>
      <c r="C40" s="175">
        <v>4060000</v>
      </c>
      <c r="D40" s="175">
        <f t="shared" ref="D40:D70" si="0">SUM(B40+C40)</f>
        <v>493960000</v>
      </c>
      <c r="E40" s="176"/>
    </row>
    <row r="41" spans="1:5" ht="13.5" x14ac:dyDescent="0.25">
      <c r="A41" s="177" t="s">
        <v>9</v>
      </c>
      <c r="B41" s="190">
        <v>509300000</v>
      </c>
      <c r="C41" s="190">
        <v>5720000</v>
      </c>
      <c r="D41" s="175">
        <f t="shared" si="0"/>
        <v>515020000</v>
      </c>
      <c r="E41" s="176"/>
    </row>
    <row r="42" spans="1:5" ht="13.5" x14ac:dyDescent="0.25">
      <c r="A42" s="177" t="s">
        <v>10</v>
      </c>
      <c r="B42" s="175">
        <v>519730000</v>
      </c>
      <c r="C42" s="175">
        <v>9940000</v>
      </c>
      <c r="D42" s="175">
        <f t="shared" si="0"/>
        <v>529670000</v>
      </c>
      <c r="E42" s="176"/>
    </row>
    <row r="43" spans="1:5" ht="13.5" x14ac:dyDescent="0.25">
      <c r="A43" s="177" t="s">
        <v>11</v>
      </c>
      <c r="B43" s="175">
        <v>564990000</v>
      </c>
      <c r="C43" s="175">
        <v>15450000</v>
      </c>
      <c r="D43" s="175">
        <f t="shared" si="0"/>
        <v>580440000</v>
      </c>
      <c r="E43" s="176"/>
    </row>
    <row r="44" spans="1:5" ht="13.5" x14ac:dyDescent="0.25">
      <c r="A44" s="177" t="s">
        <v>12</v>
      </c>
      <c r="B44" s="175">
        <v>591710000</v>
      </c>
      <c r="C44" s="175">
        <v>22840000</v>
      </c>
      <c r="D44" s="175">
        <f t="shared" si="0"/>
        <v>614550000</v>
      </c>
      <c r="E44" s="176"/>
    </row>
    <row r="45" spans="1:5" ht="13.5" x14ac:dyDescent="0.25">
      <c r="A45" s="177" t="s">
        <v>13</v>
      </c>
      <c r="B45" s="175">
        <v>623312000</v>
      </c>
      <c r="C45" s="175">
        <v>25960000</v>
      </c>
      <c r="D45" s="175">
        <f t="shared" si="0"/>
        <v>649272000</v>
      </c>
      <c r="E45" s="176"/>
    </row>
    <row r="46" spans="1:5" ht="13.5" x14ac:dyDescent="0.25">
      <c r="A46" s="177" t="s">
        <v>14</v>
      </c>
      <c r="B46" s="175">
        <v>648775000</v>
      </c>
      <c r="C46" s="175">
        <v>37995000</v>
      </c>
      <c r="D46" s="175">
        <f t="shared" si="0"/>
        <v>686770000</v>
      </c>
      <c r="E46" s="176"/>
    </row>
    <row r="47" spans="1:5" ht="13.5" x14ac:dyDescent="0.25">
      <c r="A47" s="177" t="s">
        <v>15</v>
      </c>
      <c r="B47" s="175">
        <v>631870000</v>
      </c>
      <c r="C47" s="175">
        <v>43550000</v>
      </c>
      <c r="D47" s="175">
        <f t="shared" si="0"/>
        <v>675420000</v>
      </c>
      <c r="E47" s="176"/>
    </row>
    <row r="48" spans="1:5" ht="13.5" x14ac:dyDescent="0.25">
      <c r="A48" s="177" t="s">
        <v>16</v>
      </c>
      <c r="B48" s="175">
        <v>638880000</v>
      </c>
      <c r="C48" s="175">
        <v>50899704.761904761</v>
      </c>
      <c r="D48" s="175">
        <f t="shared" si="0"/>
        <v>689779704.76190472</v>
      </c>
      <c r="E48" s="176"/>
    </row>
    <row r="49" spans="1:5" ht="13.5" x14ac:dyDescent="0.25">
      <c r="A49" s="177" t="s">
        <v>17</v>
      </c>
      <c r="B49" s="175">
        <v>656953556</v>
      </c>
      <c r="C49" s="175">
        <v>59697493.886968553</v>
      </c>
      <c r="D49" s="175">
        <f t="shared" si="0"/>
        <v>716651049.88696861</v>
      </c>
      <c r="E49" s="176"/>
    </row>
    <row r="50" spans="1:5" ht="13.5" x14ac:dyDescent="0.25">
      <c r="A50" s="177" t="s">
        <v>18</v>
      </c>
      <c r="B50" s="175">
        <v>675963429</v>
      </c>
      <c r="C50" s="175">
        <v>63676294.421221994</v>
      </c>
      <c r="D50" s="175">
        <f t="shared" si="0"/>
        <v>739639723.42122197</v>
      </c>
      <c r="E50" s="176"/>
    </row>
    <row r="51" spans="1:5" ht="13.5" x14ac:dyDescent="0.25">
      <c r="A51" s="177" t="s">
        <v>19</v>
      </c>
      <c r="B51" s="175">
        <v>647653438</v>
      </c>
      <c r="C51" s="175">
        <v>71693357.114207327</v>
      </c>
      <c r="D51" s="175">
        <f t="shared" si="0"/>
        <v>719346795.11420727</v>
      </c>
      <c r="E51" s="176"/>
    </row>
    <row r="52" spans="1:5" ht="13.5" x14ac:dyDescent="0.25">
      <c r="A52" s="177" t="s">
        <v>20</v>
      </c>
      <c r="B52" s="178">
        <v>654295090.27857149</v>
      </c>
      <c r="C52" s="178">
        <v>73029558.509002</v>
      </c>
      <c r="D52" s="175">
        <f t="shared" si="0"/>
        <v>727324648.78757346</v>
      </c>
      <c r="E52" s="176"/>
    </row>
    <row r="53" spans="1:5" ht="13.5" x14ac:dyDescent="0.25">
      <c r="A53" s="177" t="s">
        <v>21</v>
      </c>
      <c r="B53" s="178">
        <v>670320908.74720919</v>
      </c>
      <c r="C53" s="178">
        <v>81603702.511627913</v>
      </c>
      <c r="D53" s="175">
        <f t="shared" si="0"/>
        <v>751924611.2588371</v>
      </c>
      <c r="E53" s="176"/>
    </row>
    <row r="54" spans="1:5" ht="13.5" x14ac:dyDescent="0.25">
      <c r="A54" s="177" t="s">
        <v>0</v>
      </c>
      <c r="B54" s="178">
        <v>671760569.61000001</v>
      </c>
      <c r="C54" s="178">
        <v>83183162</v>
      </c>
      <c r="D54" s="175">
        <f t="shared" si="0"/>
        <v>754943731.61000001</v>
      </c>
      <c r="E54" s="176"/>
    </row>
    <row r="55" spans="1:5" ht="13.5" x14ac:dyDescent="0.25">
      <c r="A55" s="177" t="s">
        <v>22</v>
      </c>
      <c r="B55" s="178">
        <v>656296449.80999994</v>
      </c>
      <c r="C55" s="178">
        <v>85084570</v>
      </c>
      <c r="D55" s="175">
        <f t="shared" si="0"/>
        <v>741381019.80999994</v>
      </c>
      <c r="E55" s="176"/>
    </row>
    <row r="56" spans="1:5" ht="13.5" x14ac:dyDescent="0.25">
      <c r="A56" s="177" t="s">
        <v>23</v>
      </c>
      <c r="B56" s="178">
        <v>703716570.50999999</v>
      </c>
      <c r="C56" s="178">
        <v>92390238</v>
      </c>
      <c r="D56" s="175">
        <f t="shared" si="0"/>
        <v>796106808.50999999</v>
      </c>
      <c r="E56" s="176"/>
    </row>
    <row r="57" spans="1:5" ht="13.5" x14ac:dyDescent="0.25">
      <c r="A57" s="177" t="s">
        <v>24</v>
      </c>
      <c r="B57" s="178">
        <v>721594535.56999993</v>
      </c>
      <c r="C57" s="178">
        <v>88537774</v>
      </c>
      <c r="D57" s="175">
        <f t="shared" si="0"/>
        <v>810132309.56999993</v>
      </c>
      <c r="E57" s="176"/>
    </row>
    <row r="58" spans="1:5" ht="13.5" x14ac:dyDescent="0.25">
      <c r="A58" s="177" t="s">
        <v>25</v>
      </c>
      <c r="B58" s="178">
        <v>749479653</v>
      </c>
      <c r="C58" s="178">
        <v>99126506</v>
      </c>
      <c r="D58" s="175">
        <f t="shared" si="0"/>
        <v>848606159</v>
      </c>
      <c r="E58" s="176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5">
        <f t="shared" si="0"/>
        <v>872862794.99000001</v>
      </c>
      <c r="E59" s="176"/>
    </row>
    <row r="60" spans="1:5" ht="13.5" x14ac:dyDescent="0.25">
      <c r="A60" s="179" t="s">
        <v>45</v>
      </c>
      <c r="B60" s="178">
        <v>794087706.91000009</v>
      </c>
      <c r="C60" s="178">
        <v>103307752</v>
      </c>
      <c r="D60" s="175">
        <f t="shared" si="0"/>
        <v>897395458.91000009</v>
      </c>
      <c r="E60" s="176"/>
    </row>
    <row r="61" spans="1:5" ht="13.5" x14ac:dyDescent="0.25">
      <c r="A61" s="179" t="s">
        <v>44</v>
      </c>
      <c r="B61" s="178">
        <v>810973172</v>
      </c>
      <c r="C61" s="178">
        <v>114162606</v>
      </c>
      <c r="D61" s="175">
        <f t="shared" si="0"/>
        <v>925135778</v>
      </c>
      <c r="E61" s="176"/>
    </row>
    <row r="62" spans="1:5" ht="13.5" x14ac:dyDescent="0.25">
      <c r="A62" s="181">
        <v>2016</v>
      </c>
      <c r="B62" s="178">
        <v>805942429.81818175</v>
      </c>
      <c r="C62" s="178">
        <v>125562383</v>
      </c>
      <c r="D62" s="175">
        <f t="shared" si="0"/>
        <v>931504812.81818175</v>
      </c>
      <c r="E62" s="176"/>
    </row>
    <row r="63" spans="1:5" ht="13.5" x14ac:dyDescent="0.25">
      <c r="A63" s="179" t="s">
        <v>50</v>
      </c>
      <c r="B63" s="177">
        <v>809865466.72727275</v>
      </c>
      <c r="C63" s="177">
        <v>135506544</v>
      </c>
      <c r="D63" s="175">
        <f t="shared" si="0"/>
        <v>945372010.72727275</v>
      </c>
      <c r="E63" s="176"/>
    </row>
    <row r="64" spans="1:5" ht="13.5" x14ac:dyDescent="0.25">
      <c r="A64" s="181">
        <v>2018</v>
      </c>
      <c r="B64" s="177">
        <v>816374282.44999993</v>
      </c>
      <c r="C64" s="177">
        <v>149687000</v>
      </c>
      <c r="D64" s="175">
        <f t="shared" si="0"/>
        <v>966061282.44999993</v>
      </c>
      <c r="E64" s="176"/>
    </row>
    <row r="65" spans="1:5" ht="13.5" x14ac:dyDescent="0.25">
      <c r="A65" s="181">
        <v>2019</v>
      </c>
      <c r="B65" s="177">
        <v>811494774</v>
      </c>
      <c r="C65" s="177">
        <v>167785373</v>
      </c>
      <c r="D65" s="175">
        <f t="shared" si="0"/>
        <v>979280147</v>
      </c>
      <c r="E65" s="176"/>
    </row>
    <row r="66" spans="1:5" ht="13.5" x14ac:dyDescent="0.25">
      <c r="A66" s="181">
        <v>2020</v>
      </c>
      <c r="B66" s="177">
        <v>746300000</v>
      </c>
      <c r="C66" s="177">
        <v>181160000</v>
      </c>
      <c r="D66" s="175">
        <f t="shared" si="0"/>
        <v>927460000</v>
      </c>
      <c r="E66" s="176" t="s">
        <v>59</v>
      </c>
    </row>
    <row r="67" spans="1:5" ht="13.5" x14ac:dyDescent="0.25">
      <c r="A67" s="181">
        <v>2021</v>
      </c>
      <c r="B67" s="177">
        <v>760986000</v>
      </c>
      <c r="C67" s="177">
        <v>196783000</v>
      </c>
      <c r="D67" s="175">
        <f t="shared" si="0"/>
        <v>957769000</v>
      </c>
      <c r="E67" s="176"/>
    </row>
    <row r="68" spans="1:5" ht="13.5" x14ac:dyDescent="0.25">
      <c r="A68" s="181">
        <v>2022</v>
      </c>
      <c r="B68" s="177">
        <v>730056000</v>
      </c>
      <c r="C68" s="177">
        <v>205809000</v>
      </c>
      <c r="D68" s="175">
        <f t="shared" si="0"/>
        <v>935865000</v>
      </c>
    </row>
    <row r="69" spans="1:5" ht="13.5" x14ac:dyDescent="0.25">
      <c r="A69" s="181">
        <v>2023</v>
      </c>
      <c r="B69" s="177">
        <v>692901000</v>
      </c>
      <c r="C69" s="177">
        <v>194971000</v>
      </c>
      <c r="D69" s="175">
        <f t="shared" si="0"/>
        <v>887872000</v>
      </c>
    </row>
    <row r="70" spans="1:5" ht="13.5" x14ac:dyDescent="0.25">
      <c r="A70" s="176" t="s">
        <v>69</v>
      </c>
      <c r="B70" s="177">
        <v>674260000</v>
      </c>
      <c r="C70" s="177">
        <v>201265000</v>
      </c>
      <c r="D70" s="175">
        <f t="shared" si="0"/>
        <v>875525000</v>
      </c>
    </row>
  </sheetData>
  <pageMargins left="0.7" right="0.7" top="0.75" bottom="0.75" header="0.3" footer="0.3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A1CC-F345-4DB2-8525-0FE42265CEDE}">
  <sheetPr>
    <tabColor rgb="FF0070C0"/>
  </sheetPr>
  <dimension ref="A4:AG89"/>
  <sheetViews>
    <sheetView topLeftCell="A39" zoomScaleNormal="100" workbookViewId="0">
      <selection activeCell="AG27" sqref="AG27"/>
    </sheetView>
  </sheetViews>
  <sheetFormatPr defaultRowHeight="12.75" x14ac:dyDescent="0.2"/>
  <cols>
    <col min="1" max="1" width="6.85546875" style="21" customWidth="1"/>
    <col min="2" max="2" width="16.42578125" style="21" customWidth="1"/>
    <col min="3" max="3" width="13.7109375" style="21" customWidth="1"/>
    <col min="4" max="4" width="15" style="21" customWidth="1"/>
    <col min="5" max="9" width="9.140625" style="21"/>
    <col min="10" max="10" width="11.140625" style="21" customWidth="1"/>
    <col min="11" max="11" width="10.140625" style="21" customWidth="1"/>
    <col min="12" max="12" width="11.140625" style="21" customWidth="1"/>
    <col min="13" max="19" width="9.140625" style="21"/>
    <col min="20" max="20" width="15" style="21" customWidth="1"/>
    <col min="21" max="21" width="14" style="21" customWidth="1"/>
    <col min="22" max="22" width="15" style="21" customWidth="1"/>
    <col min="23" max="16384" width="9.140625" style="21"/>
  </cols>
  <sheetData>
    <row r="4" spans="2:33" x14ac:dyDescent="0.2">
      <c r="B4" s="21">
        <v>29.468</v>
      </c>
      <c r="C4" s="21">
        <v>32.939</v>
      </c>
      <c r="D4" s="21">
        <v>34.295999999999999</v>
      </c>
    </row>
    <row r="6" spans="2:33" x14ac:dyDescent="0.2">
      <c r="B6" s="21">
        <v>27.055</v>
      </c>
      <c r="C6" s="21">
        <v>29.66</v>
      </c>
      <c r="D6" s="21">
        <v>32.087000000000003</v>
      </c>
    </row>
    <row r="8" spans="2:33" x14ac:dyDescent="0.2">
      <c r="B8" s="21">
        <v>28.225000000000001</v>
      </c>
      <c r="C8" s="21">
        <v>33.911999999999999</v>
      </c>
      <c r="D8" s="21">
        <v>34.22</v>
      </c>
    </row>
    <row r="10" spans="2:33" x14ac:dyDescent="0.2">
      <c r="B10" s="21">
        <v>29.606999999999999</v>
      </c>
      <c r="C10" s="21">
        <v>32.073</v>
      </c>
      <c r="D10" s="21">
        <v>33.213999999999999</v>
      </c>
      <c r="AC10" s="21">
        <v>13.814</v>
      </c>
    </row>
    <row r="12" spans="2:33" x14ac:dyDescent="0.2">
      <c r="B12" s="21">
        <v>31.042999999999999</v>
      </c>
      <c r="C12" s="21">
        <v>33.816000000000003</v>
      </c>
      <c r="D12" s="21">
        <v>34.027000000000001</v>
      </c>
    </row>
    <row r="14" spans="2:33" x14ac:dyDescent="0.2">
      <c r="B14" s="21">
        <v>29.597999999999999</v>
      </c>
      <c r="C14" s="21">
        <v>31.75</v>
      </c>
      <c r="D14" s="21">
        <v>31.524999999999999</v>
      </c>
      <c r="AG14" s="21">
        <v>15.692</v>
      </c>
    </row>
    <row r="16" spans="2:33" x14ac:dyDescent="0.2">
      <c r="B16" s="21">
        <v>30.734999999999999</v>
      </c>
      <c r="C16" s="21">
        <v>31.321000000000002</v>
      </c>
      <c r="D16" s="21">
        <v>32.128999999999998</v>
      </c>
    </row>
    <row r="18" spans="2:33" x14ac:dyDescent="0.2">
      <c r="B18" s="21">
        <v>30.13</v>
      </c>
      <c r="C18" s="21">
        <v>31.486999999999998</v>
      </c>
      <c r="D18" s="21">
        <v>30.698</v>
      </c>
    </row>
    <row r="20" spans="2:33" x14ac:dyDescent="0.2">
      <c r="B20" s="21">
        <v>28.919</v>
      </c>
      <c r="C20" s="21">
        <v>30.003</v>
      </c>
      <c r="D20" s="21">
        <v>31.283000000000001</v>
      </c>
    </row>
    <row r="22" spans="2:33" x14ac:dyDescent="0.2">
      <c r="B22" s="21">
        <v>31.588000000000001</v>
      </c>
      <c r="C22" s="21">
        <v>31.587</v>
      </c>
      <c r="D22" s="21">
        <v>31.768999999999998</v>
      </c>
    </row>
    <row r="24" spans="2:33" x14ac:dyDescent="0.2">
      <c r="B24" s="21">
        <v>30.951000000000001</v>
      </c>
      <c r="C24" s="21">
        <v>31.59</v>
      </c>
      <c r="D24" s="21">
        <v>32.704000000000001</v>
      </c>
    </row>
    <row r="26" spans="2:33" x14ac:dyDescent="0.2">
      <c r="B26" s="21">
        <v>33.200000000000003</v>
      </c>
      <c r="C26" s="21">
        <v>34.633000000000003</v>
      </c>
      <c r="D26" s="21">
        <v>33.584000000000003</v>
      </c>
      <c r="AC26" s="21">
        <v>16.379000000000001</v>
      </c>
    </row>
    <row r="27" spans="2:33" x14ac:dyDescent="0.2">
      <c r="AG27" s="21">
        <f>SUM(AF27*AH15)</f>
        <v>0</v>
      </c>
    </row>
    <row r="37" spans="1:5" ht="54.75" customHeight="1" x14ac:dyDescent="0.2"/>
    <row r="38" spans="1:5" ht="13.5" x14ac:dyDescent="0.25">
      <c r="A38" s="176"/>
      <c r="B38" s="174" t="s">
        <v>1</v>
      </c>
      <c r="C38" s="174" t="s">
        <v>2</v>
      </c>
      <c r="D38" s="174" t="s">
        <v>3</v>
      </c>
      <c r="E38" s="176"/>
    </row>
    <row r="39" spans="1:5" ht="13.5" x14ac:dyDescent="0.25">
      <c r="A39" s="177" t="s">
        <v>8</v>
      </c>
      <c r="B39" s="175">
        <v>489900000</v>
      </c>
      <c r="C39" s="175">
        <v>4060000</v>
      </c>
      <c r="D39" s="175">
        <f t="shared" ref="D39:D69" si="0">SUM(B39+C39)</f>
        <v>493960000</v>
      </c>
      <c r="E39" s="176"/>
    </row>
    <row r="40" spans="1:5" ht="13.5" x14ac:dyDescent="0.25">
      <c r="A40" s="177" t="s">
        <v>9</v>
      </c>
      <c r="B40" s="175">
        <v>509300000</v>
      </c>
      <c r="C40" s="175">
        <v>5720000</v>
      </c>
      <c r="D40" s="175">
        <f t="shared" si="0"/>
        <v>515020000</v>
      </c>
      <c r="E40" s="176"/>
    </row>
    <row r="41" spans="1:5" ht="13.5" x14ac:dyDescent="0.25">
      <c r="A41" s="177" t="s">
        <v>10</v>
      </c>
      <c r="B41" s="175">
        <v>519730000</v>
      </c>
      <c r="C41" s="175">
        <v>9940000</v>
      </c>
      <c r="D41" s="175">
        <f t="shared" si="0"/>
        <v>529670000</v>
      </c>
      <c r="E41" s="176"/>
    </row>
    <row r="42" spans="1:5" ht="13.5" x14ac:dyDescent="0.25">
      <c r="A42" s="177" t="s">
        <v>11</v>
      </c>
      <c r="B42" s="175">
        <v>564990000</v>
      </c>
      <c r="C42" s="175">
        <v>15450000</v>
      </c>
      <c r="D42" s="175">
        <f t="shared" si="0"/>
        <v>580440000</v>
      </c>
      <c r="E42" s="176"/>
    </row>
    <row r="43" spans="1:5" ht="13.5" x14ac:dyDescent="0.25">
      <c r="A43" s="177" t="s">
        <v>12</v>
      </c>
      <c r="B43" s="175">
        <v>591710000</v>
      </c>
      <c r="C43" s="175">
        <v>22840000</v>
      </c>
      <c r="D43" s="175">
        <f t="shared" si="0"/>
        <v>614550000</v>
      </c>
      <c r="E43" s="176"/>
    </row>
    <row r="44" spans="1:5" ht="13.5" x14ac:dyDescent="0.25">
      <c r="A44" s="177" t="s">
        <v>13</v>
      </c>
      <c r="B44" s="175">
        <v>623312000</v>
      </c>
      <c r="C44" s="175">
        <v>25960000</v>
      </c>
      <c r="D44" s="175">
        <f t="shared" si="0"/>
        <v>649272000</v>
      </c>
      <c r="E44" s="176"/>
    </row>
    <row r="45" spans="1:5" ht="13.5" x14ac:dyDescent="0.25">
      <c r="A45" s="177" t="s">
        <v>14</v>
      </c>
      <c r="B45" s="175">
        <v>648775000</v>
      </c>
      <c r="C45" s="175">
        <v>37995000</v>
      </c>
      <c r="D45" s="175">
        <f t="shared" si="0"/>
        <v>686770000</v>
      </c>
      <c r="E45" s="176"/>
    </row>
    <row r="46" spans="1:5" ht="13.5" x14ac:dyDescent="0.25">
      <c r="A46" s="177" t="s">
        <v>15</v>
      </c>
      <c r="B46" s="175">
        <v>631870000</v>
      </c>
      <c r="C46" s="175">
        <v>43550000</v>
      </c>
      <c r="D46" s="175">
        <f t="shared" si="0"/>
        <v>675420000</v>
      </c>
      <c r="E46" s="176"/>
    </row>
    <row r="47" spans="1:5" ht="13.5" x14ac:dyDescent="0.25">
      <c r="A47" s="177" t="s">
        <v>16</v>
      </c>
      <c r="B47" s="175">
        <v>638880000</v>
      </c>
      <c r="C47" s="175">
        <v>50899704.761904761</v>
      </c>
      <c r="D47" s="175">
        <f t="shared" si="0"/>
        <v>689779704.76190472</v>
      </c>
      <c r="E47" s="176"/>
    </row>
    <row r="48" spans="1:5" ht="13.5" x14ac:dyDescent="0.25">
      <c r="A48" s="177" t="s">
        <v>17</v>
      </c>
      <c r="B48" s="175">
        <v>656953556</v>
      </c>
      <c r="C48" s="175">
        <v>59697493.886968553</v>
      </c>
      <c r="D48" s="175">
        <f t="shared" si="0"/>
        <v>716651049.88696861</v>
      </c>
      <c r="E48" s="176"/>
    </row>
    <row r="49" spans="1:5" ht="13.5" x14ac:dyDescent="0.25">
      <c r="A49" s="177" t="s">
        <v>18</v>
      </c>
      <c r="B49" s="175">
        <v>675963429</v>
      </c>
      <c r="C49" s="175">
        <v>63676294.421221994</v>
      </c>
      <c r="D49" s="175">
        <f t="shared" si="0"/>
        <v>739639723.42122197</v>
      </c>
      <c r="E49" s="176"/>
    </row>
    <row r="50" spans="1:5" ht="13.5" x14ac:dyDescent="0.25">
      <c r="A50" s="177" t="s">
        <v>19</v>
      </c>
      <c r="B50" s="175">
        <v>647653438</v>
      </c>
      <c r="C50" s="175">
        <v>71693357.114207327</v>
      </c>
      <c r="D50" s="175">
        <f t="shared" si="0"/>
        <v>719346795.11420727</v>
      </c>
      <c r="E50" s="176"/>
    </row>
    <row r="51" spans="1:5" ht="13.5" x14ac:dyDescent="0.25">
      <c r="A51" s="177" t="s">
        <v>20</v>
      </c>
      <c r="B51" s="178">
        <v>654295090.27857149</v>
      </c>
      <c r="C51" s="178">
        <v>73029558.509002</v>
      </c>
      <c r="D51" s="175">
        <f t="shared" si="0"/>
        <v>727324648.78757346</v>
      </c>
      <c r="E51" s="176"/>
    </row>
    <row r="52" spans="1:5" ht="13.5" x14ac:dyDescent="0.25">
      <c r="A52" s="177" t="s">
        <v>21</v>
      </c>
      <c r="B52" s="178">
        <v>670320908.74720919</v>
      </c>
      <c r="C52" s="178">
        <v>81603702.511627913</v>
      </c>
      <c r="D52" s="175">
        <f t="shared" si="0"/>
        <v>751924611.2588371</v>
      </c>
      <c r="E52" s="176"/>
    </row>
    <row r="53" spans="1:5" ht="13.5" x14ac:dyDescent="0.25">
      <c r="A53" s="177" t="s">
        <v>0</v>
      </c>
      <c r="B53" s="178">
        <v>671760569.61000001</v>
      </c>
      <c r="C53" s="178">
        <v>83183162</v>
      </c>
      <c r="D53" s="175">
        <f t="shared" si="0"/>
        <v>754943731.61000001</v>
      </c>
      <c r="E53" s="176"/>
    </row>
    <row r="54" spans="1:5" ht="13.5" x14ac:dyDescent="0.25">
      <c r="A54" s="177" t="s">
        <v>22</v>
      </c>
      <c r="B54" s="178">
        <v>656296449.80999994</v>
      </c>
      <c r="C54" s="178">
        <v>85084570</v>
      </c>
      <c r="D54" s="175">
        <f t="shared" si="0"/>
        <v>741381019.80999994</v>
      </c>
      <c r="E54" s="176"/>
    </row>
    <row r="55" spans="1:5" ht="13.5" x14ac:dyDescent="0.25">
      <c r="A55" s="177" t="s">
        <v>23</v>
      </c>
      <c r="B55" s="178">
        <v>703716570.50999999</v>
      </c>
      <c r="C55" s="178">
        <v>92390238</v>
      </c>
      <c r="D55" s="175">
        <f t="shared" si="0"/>
        <v>796106808.50999999</v>
      </c>
      <c r="E55" s="176"/>
    </row>
    <row r="56" spans="1:5" ht="13.5" x14ac:dyDescent="0.25">
      <c r="A56" s="177" t="s">
        <v>24</v>
      </c>
      <c r="B56" s="178">
        <v>721594535.56999993</v>
      </c>
      <c r="C56" s="178">
        <v>88537774</v>
      </c>
      <c r="D56" s="175">
        <f t="shared" si="0"/>
        <v>810132309.56999993</v>
      </c>
      <c r="E56" s="176"/>
    </row>
    <row r="57" spans="1:5" ht="13.5" x14ac:dyDescent="0.25">
      <c r="A57" s="177" t="s">
        <v>25</v>
      </c>
      <c r="B57" s="178">
        <v>749479653</v>
      </c>
      <c r="C57" s="178">
        <v>99126506</v>
      </c>
      <c r="D57" s="175">
        <f t="shared" si="0"/>
        <v>848606159</v>
      </c>
      <c r="E57" s="176"/>
    </row>
    <row r="58" spans="1:5" ht="13.5" x14ac:dyDescent="0.25">
      <c r="A58" s="179">
        <v>2013</v>
      </c>
      <c r="B58" s="178">
        <v>771993455.99000001</v>
      </c>
      <c r="C58" s="178">
        <v>100869339</v>
      </c>
      <c r="D58" s="175">
        <f t="shared" si="0"/>
        <v>872862794.99000001</v>
      </c>
      <c r="E58" s="176"/>
    </row>
    <row r="59" spans="1:5" ht="13.5" x14ac:dyDescent="0.25">
      <c r="A59" s="179" t="s">
        <v>45</v>
      </c>
      <c r="B59" s="178">
        <v>794087706.91000009</v>
      </c>
      <c r="C59" s="178">
        <v>103307752</v>
      </c>
      <c r="D59" s="175">
        <f t="shared" si="0"/>
        <v>897395458.91000009</v>
      </c>
      <c r="E59" s="176"/>
    </row>
    <row r="60" spans="1:5" ht="13.5" x14ac:dyDescent="0.25">
      <c r="A60" s="179" t="s">
        <v>44</v>
      </c>
      <c r="B60" s="178">
        <v>810973172</v>
      </c>
      <c r="C60" s="178">
        <v>114162606</v>
      </c>
      <c r="D60" s="175">
        <f t="shared" si="0"/>
        <v>925135778</v>
      </c>
      <c r="E60" s="176"/>
    </row>
    <row r="61" spans="1:5" ht="13.5" x14ac:dyDescent="0.25">
      <c r="A61" s="181">
        <v>2016</v>
      </c>
      <c r="B61" s="178">
        <v>805942429.81818175</v>
      </c>
      <c r="C61" s="178">
        <v>125562383</v>
      </c>
      <c r="D61" s="175">
        <f t="shared" si="0"/>
        <v>931504812.81818175</v>
      </c>
      <c r="E61" s="176"/>
    </row>
    <row r="62" spans="1:5" ht="13.5" x14ac:dyDescent="0.25">
      <c r="A62" s="179" t="s">
        <v>50</v>
      </c>
      <c r="B62" s="177">
        <v>809865466.72727275</v>
      </c>
      <c r="C62" s="177">
        <v>135506544</v>
      </c>
      <c r="D62" s="175">
        <f t="shared" si="0"/>
        <v>945372010.72727275</v>
      </c>
      <c r="E62" s="176"/>
    </row>
    <row r="63" spans="1:5" ht="13.5" x14ac:dyDescent="0.25">
      <c r="A63" s="181">
        <v>2018</v>
      </c>
      <c r="B63" s="177">
        <v>816374282.44999993</v>
      </c>
      <c r="C63" s="177">
        <v>149687000</v>
      </c>
      <c r="D63" s="175">
        <f t="shared" si="0"/>
        <v>966061282.44999993</v>
      </c>
      <c r="E63" s="176"/>
    </row>
    <row r="64" spans="1:5" ht="13.5" x14ac:dyDescent="0.25">
      <c r="A64" s="181">
        <v>2019</v>
      </c>
      <c r="B64" s="177">
        <v>811494774</v>
      </c>
      <c r="C64" s="177">
        <v>167785373</v>
      </c>
      <c r="D64" s="175">
        <f t="shared" si="0"/>
        <v>979280147</v>
      </c>
      <c r="E64" s="176"/>
    </row>
    <row r="65" spans="1:13" ht="13.5" x14ac:dyDescent="0.25">
      <c r="A65" s="181">
        <v>2020</v>
      </c>
      <c r="B65" s="177">
        <v>746300000</v>
      </c>
      <c r="C65" s="177">
        <v>181160000</v>
      </c>
      <c r="D65" s="175">
        <f t="shared" si="0"/>
        <v>927460000</v>
      </c>
      <c r="E65" s="176" t="s">
        <v>59</v>
      </c>
    </row>
    <row r="66" spans="1:13" ht="13.5" x14ac:dyDescent="0.25">
      <c r="A66" s="181">
        <v>2021</v>
      </c>
      <c r="B66" s="177">
        <v>760986000</v>
      </c>
      <c r="C66" s="177">
        <v>196783000</v>
      </c>
      <c r="D66" s="175">
        <f t="shared" si="0"/>
        <v>957769000</v>
      </c>
      <c r="E66" s="176"/>
    </row>
    <row r="67" spans="1:13" ht="13.5" x14ac:dyDescent="0.25">
      <c r="A67" s="181">
        <v>2022</v>
      </c>
      <c r="B67" s="177">
        <v>730056000</v>
      </c>
      <c r="C67" s="177">
        <v>205809000</v>
      </c>
      <c r="D67" s="175">
        <f t="shared" si="0"/>
        <v>935865000</v>
      </c>
    </row>
    <row r="68" spans="1:13" ht="13.5" x14ac:dyDescent="0.25">
      <c r="A68" s="181">
        <v>2023</v>
      </c>
      <c r="B68" s="177">
        <v>692901000</v>
      </c>
      <c r="C68" s="177">
        <v>194971000</v>
      </c>
      <c r="D68" s="175">
        <f t="shared" si="0"/>
        <v>887872000</v>
      </c>
    </row>
    <row r="69" spans="1:13" ht="13.5" x14ac:dyDescent="0.25">
      <c r="A69" s="176" t="s">
        <v>69</v>
      </c>
      <c r="B69" s="177">
        <v>674260000</v>
      </c>
      <c r="C69" s="177">
        <v>201265000</v>
      </c>
      <c r="D69" s="175">
        <f t="shared" si="0"/>
        <v>875525000</v>
      </c>
    </row>
    <row r="78" spans="1:13" x14ac:dyDescent="0.2">
      <c r="B78" s="35"/>
      <c r="C78" s="35"/>
      <c r="D78" s="35"/>
      <c r="J78" s="23"/>
      <c r="K78" s="34"/>
      <c r="L78" s="34"/>
      <c r="M78" s="34"/>
    </row>
    <row r="79" spans="1:13" x14ac:dyDescent="0.2">
      <c r="A79" s="33"/>
      <c r="B79" s="32"/>
      <c r="C79" s="32"/>
      <c r="D79" s="32"/>
      <c r="J79" s="23"/>
      <c r="K79" s="23"/>
      <c r="L79" s="23"/>
    </row>
    <row r="80" spans="1:13" x14ac:dyDescent="0.2">
      <c r="A80" s="33"/>
      <c r="B80" s="32"/>
      <c r="C80" s="32"/>
      <c r="D80" s="32"/>
    </row>
    <row r="81" spans="1:4" x14ac:dyDescent="0.2">
      <c r="A81" s="33"/>
      <c r="B81" s="32"/>
      <c r="C81" s="32"/>
      <c r="D81" s="32"/>
    </row>
    <row r="82" spans="1:4" x14ac:dyDescent="0.2">
      <c r="A82" s="33"/>
      <c r="B82" s="32"/>
      <c r="C82" s="32"/>
      <c r="D82" s="32"/>
    </row>
    <row r="83" spans="1:4" x14ac:dyDescent="0.2">
      <c r="A83" s="33"/>
      <c r="B83" s="32"/>
      <c r="C83" s="32"/>
      <c r="D83" s="32"/>
    </row>
    <row r="84" spans="1:4" x14ac:dyDescent="0.2">
      <c r="A84" s="33"/>
      <c r="B84" s="32"/>
      <c r="C84" s="32"/>
      <c r="D84" s="32"/>
    </row>
    <row r="85" spans="1:4" x14ac:dyDescent="0.2">
      <c r="A85" s="33"/>
      <c r="B85" s="32"/>
      <c r="C85" s="32"/>
      <c r="D85" s="32"/>
    </row>
    <row r="88" spans="1:4" x14ac:dyDescent="0.2">
      <c r="B88" s="31"/>
    </row>
    <row r="89" spans="1:4" x14ac:dyDescent="0.2">
      <c r="B89" s="31"/>
    </row>
  </sheetData>
  <pageMargins left="0.7" right="0.7" top="0.75" bottom="0.75" header="0.3" footer="0.3"/>
  <pageSetup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F e J V U 1 7 F d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i S c C q E o B z Y b E J u 8 Q u I a e 8 z / T F h P T R + 6 I 0 0 G O 8 K Y L M E 9 v 4 g H 1 B L A w Q U A A I A C A A c V 4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F e J V S i K R 7 g O A A A A E Q A A A B M A H A B G b 3 J t d W x h c y 9 T Z W N 0 a W 9 u M S 5 t I K I Y A C i g F A A A A A A A A A A A A A A A A A A A A A A A A A A A A C t O T S 7 J z M 9 T C I b Q h t Y A U E s B A i 0 A F A A C A A g A H F e J V U 1 7 F d u j A A A A 9 g A A A B I A A A A A A A A A A A A A A A A A A A A A A E N v b m Z p Z y 9 Q Y W N r Y W d l L n h t b F B L A Q I t A B Q A A g A I A B x X i V U P y u m r p A A A A O k A A A A T A A A A A A A A A A A A A A A A A O 8 A A A B b Q 2 9 u d G V u d F 9 U e X B l c 1 0 u e G 1 s U E s B A i 0 A F A A C A A g A H F e J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F u s l Z i V d t N v Z R 1 1 q V H h x 4 A A A A A A g A A A A A A A 2 Y A A M A A A A A Q A A A A p I T 2 K S g 8 A 2 L F / D O 9 B N L U 2 A A A A A A E g A A A o A A A A B A A A A B 9 i D O L w c z u G c C r k e v E 2 x 6 n U A A A A O f J r I M 3 V g C 9 H E d u B N G H E i X F g h u m 8 K R 7 P S i X 4 E 1 / l / o d 8 T m 7 b Y K M 3 t 4 h y K X 5 v G l J S Z 9 3 V V c z z Y N j R h v o X N G A z 0 D I 9 / 1 B q a 3 r 9 J j o A M a i 4 j h O F A A A A B e c W H L 0 E x V B N 7 t m a 0 D I c 6 G B o + 5 I < / D a t a M a s h u p > 
</file>

<file path=customXml/itemProps1.xml><?xml version="1.0" encoding="utf-8"?>
<ds:datastoreItem xmlns:ds="http://schemas.openxmlformats.org/officeDocument/2006/customXml" ds:itemID="{72709678-D456-47B0-93B1-86EBA09259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Combined Chart with Exempt</vt:lpstr>
      <vt:lpstr>Domestic Chart with Exempt</vt:lpstr>
      <vt:lpstr>Import Chart</vt:lpstr>
      <vt:lpstr>Region 1 Chart with Exempt</vt:lpstr>
      <vt:lpstr>Region 2 Chart with Exempt</vt:lpstr>
      <vt:lpstr>Region 3 Chart with Exempt</vt:lpstr>
      <vt:lpstr>Domestic Graph with Exempt</vt:lpstr>
      <vt:lpstr>Import Graph</vt:lpstr>
      <vt:lpstr>Combined Graph with Exempt</vt:lpstr>
      <vt:lpstr>Total Shipments with Exempt </vt:lpstr>
      <vt:lpstr>Region 1 Graph with Exempt</vt:lpstr>
      <vt:lpstr>Region 2 Graph with Exempt</vt:lpstr>
      <vt:lpstr>Region 3 Graph with Exempt</vt:lpstr>
      <vt:lpstr>All Regions Graph with Exempt</vt:lpstr>
      <vt:lpstr>'All Regions Graph with Exempt'!Print_Area</vt:lpstr>
      <vt:lpstr>'Combined Graph with Exempt'!Print_Area</vt:lpstr>
      <vt:lpstr>'Domestic Chart with Exempt'!Print_Area</vt:lpstr>
      <vt:lpstr>'Domestic Graph with Exempt'!Print_Area</vt:lpstr>
      <vt:lpstr>'Import Chart'!Print_Area</vt:lpstr>
      <vt:lpstr>'Import Graph'!Print_Area</vt:lpstr>
      <vt:lpstr>'Region 1 Chart with Exempt'!Print_Area</vt:lpstr>
      <vt:lpstr>'Region 1 Graph with Exempt'!Print_Area</vt:lpstr>
      <vt:lpstr>'Region 2 Chart with Exempt'!Print_Area</vt:lpstr>
      <vt:lpstr>'Region 2 Graph with Exempt'!Print_Area</vt:lpstr>
      <vt:lpstr>'Region 3 Chart with Exempt'!Print_Area</vt:lpstr>
      <vt:lpstr>'Region 3 Graph with Exempt'!Print_Area</vt:lpstr>
      <vt:lpstr>'Total Shipments with Exempt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Mushroom Council</dc:creator>
  <cp:lastModifiedBy>Cheryl Abbate</cp:lastModifiedBy>
  <cp:lastPrinted>2024-08-23T21:47:25Z</cp:lastPrinted>
  <dcterms:created xsi:type="dcterms:W3CDTF">2007-04-10T21:14:37Z</dcterms:created>
  <dcterms:modified xsi:type="dcterms:W3CDTF">2024-08-26T18:53:28Z</dcterms:modified>
</cp:coreProperties>
</file>